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0 - Aktuální\bilance, statistika, evidence, xls (N NS, kompl. NPOH)\bilance NPOH - komplet\250415 na web\"/>
    </mc:Choice>
  </mc:AlternateContent>
  <xr:revisionPtr revIDLastSave="0" documentId="13_ncr:1_{2871EED5-8D7F-445D-A30F-9CF0AF0E1CB5}" xr6:coauthVersionLast="47" xr6:coauthVersionMax="47" xr10:uidLastSave="{00000000-0000-0000-0000-000000000000}"/>
  <workbookProtection workbookAlgorithmName="SHA-512" workbookHashValue="zaZFmH/sUT8Of+W/ngU61EXa3qTIWwSR+wsGU3xzF91n8AiNIq3H7VBCbZTJt2/uabS/Q2+0dwjLl++VZYqKTQ==" workbookSaltValue="rKlburlsCtJL3Yejdoz50A==" workbookSpinCount="100000" lockStructure="1"/>
  <bookViews>
    <workbookView xWindow="28680" yWindow="-120" windowWidth="29040" windowHeight="16440" xr2:uid="{B11ABE85-EF99-4265-87B0-6FF7FAA2F5AD}"/>
  </bookViews>
  <sheets>
    <sheet name="Plod.24" sheetId="1" r:id="rId1"/>
    <sheet name="Plod.25" sheetId="18" r:id="rId2"/>
    <sheet name="Ztr.25" sheetId="19" r:id="rId3"/>
    <sheet name="M.24-25" sheetId="2" r:id="rId4"/>
    <sheet name="M.24-25ev" sheetId="27" r:id="rId5"/>
    <sheet name="O.24-25" sheetId="6" r:id="rId6"/>
    <sheet name="HZ" sheetId="21" r:id="rId7"/>
    <sheet name="Bil.Eko" sheetId="16" r:id="rId8"/>
    <sheet name="Bil.NS" sheetId="20" r:id="rId9"/>
    <sheet name="Mod.OH1" sheetId="24" r:id="rId10"/>
    <sheet name="Mod.OH2" sheetId="25" r:id="rId11"/>
  </sheets>
  <definedNames>
    <definedName name="_xlnm.Print_Area" localSheetId="7">Bil.Eko!$B$1:$J$24</definedName>
    <definedName name="_xlnm.Print_Area" localSheetId="8">Bil.NS!$B$1:$I$32</definedName>
    <definedName name="_xlnm.Print_Area" localSheetId="9">Mod.OH1!$B$1:$G$59</definedName>
    <definedName name="_xlnm.Print_Area" localSheetId="10">Mod.OH2!$B$1:$K$99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21" l="1"/>
  <c r="B101" i="25"/>
  <c r="B58" i="24"/>
  <c r="B35" i="20"/>
  <c r="B26" i="16"/>
  <c r="A106" i="6"/>
  <c r="A10" i="27"/>
  <c r="A77" i="2"/>
  <c r="B84" i="19"/>
  <c r="B83" i="18"/>
  <c r="B6" i="18"/>
  <c r="B5" i="18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F53" i="21"/>
  <c r="G53" i="21" s="1"/>
  <c r="F54" i="21"/>
  <c r="G54" i="21" s="1"/>
  <c r="F55" i="21"/>
  <c r="G55" i="21" s="1"/>
  <c r="F56" i="21"/>
  <c r="G56" i="21" s="1"/>
  <c r="H56" i="21" s="1"/>
  <c r="F57" i="21"/>
  <c r="G57" i="21" s="1"/>
  <c r="H57" i="21" s="1"/>
  <c r="F58" i="21"/>
  <c r="G58" i="21" s="1"/>
  <c r="H58" i="21" s="1"/>
  <c r="F59" i="21"/>
  <c r="G59" i="21" s="1"/>
  <c r="F60" i="21"/>
  <c r="G60" i="21" s="1"/>
  <c r="F61" i="21"/>
  <c r="G61" i="21" s="1"/>
  <c r="F52" i="21"/>
  <c r="G52" i="21" s="1"/>
  <c r="J61" i="21"/>
  <c r="J52" i="21"/>
  <c r="J53" i="21"/>
  <c r="J54" i="21"/>
  <c r="J55" i="21"/>
  <c r="J56" i="21"/>
  <c r="J57" i="21"/>
  <c r="J58" i="21"/>
  <c r="J59" i="21"/>
  <c r="J60" i="21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L43" i="24"/>
  <c r="G98" i="25"/>
  <c r="F98" i="25"/>
  <c r="Q79" i="1"/>
  <c r="R79" i="1"/>
  <c r="S79" i="1"/>
  <c r="D3" i="19"/>
  <c r="E2" i="18"/>
  <c r="B2" i="27"/>
  <c r="I93" i="25"/>
  <c r="H93" i="25"/>
  <c r="G93" i="25"/>
  <c r="F93" i="25"/>
  <c r="F97" i="25" s="1"/>
  <c r="H14" i="16"/>
  <c r="L21" i="27" a="1"/>
  <c r="L21" i="27" s="1"/>
  <c r="M9" i="16"/>
  <c r="L9" i="16"/>
  <c r="L10" i="16" l="1"/>
  <c r="L13" i="16"/>
  <c r="P13" i="16"/>
  <c r="P14" i="16"/>
  <c r="L14" i="16"/>
  <c r="N9" i="16"/>
  <c r="O9" i="16" s="1"/>
  <c r="K58" i="21"/>
  <c r="K57" i="21"/>
  <c r="K56" i="21"/>
  <c r="F99" i="25"/>
  <c r="B100" i="25" s="1"/>
  <c r="G97" i="25"/>
  <c r="G99" i="25" s="1"/>
  <c r="G100" i="25" s="1"/>
  <c r="D89" i="18" l="1"/>
  <c r="C17" i="24" s="1"/>
  <c r="I19" i="25" s="1"/>
  <c r="C8" i="24"/>
  <c r="G2" i="24"/>
  <c r="C2" i="24"/>
  <c r="J51" i="21"/>
  <c r="H55" i="21"/>
  <c r="K55" i="21" s="1"/>
  <c r="H54" i="21"/>
  <c r="K54" i="21" s="1"/>
  <c r="H53" i="21"/>
  <c r="K53" i="21" s="1"/>
  <c r="H59" i="21"/>
  <c r="K59" i="21" s="1"/>
  <c r="H60" i="21"/>
  <c r="K60" i="21" s="1"/>
  <c r="H52" i="21"/>
  <c r="K52" i="21" s="1"/>
  <c r="H48" i="21"/>
  <c r="K48" i="21" s="1"/>
  <c r="D91" i="18"/>
  <c r="C19" i="24" s="1"/>
  <c r="D90" i="18"/>
  <c r="C18" i="24" s="1"/>
  <c r="D88" i="18"/>
  <c r="C16" i="24" s="1"/>
  <c r="AU79" i="1"/>
  <c r="AV79" i="1"/>
  <c r="AW79" i="1"/>
  <c r="AU81" i="1"/>
  <c r="AV81" i="1"/>
  <c r="AW81" i="1"/>
  <c r="L46" i="24"/>
  <c r="Q46" i="24"/>
  <c r="C26" i="24"/>
  <c r="C27" i="24"/>
  <c r="C34" i="24"/>
  <c r="C35" i="24"/>
  <c r="B103" i="6"/>
  <c r="C38" i="24" s="1"/>
  <c r="B102" i="6"/>
  <c r="C37" i="24" s="1"/>
  <c r="B101" i="6"/>
  <c r="C36" i="24" s="1"/>
  <c r="B100" i="6"/>
  <c r="B99" i="6"/>
  <c r="B98" i="6"/>
  <c r="C33" i="24" s="1"/>
  <c r="B97" i="6"/>
  <c r="C32" i="24" s="1"/>
  <c r="B96" i="6"/>
  <c r="C31" i="24" s="1"/>
  <c r="B95" i="6"/>
  <c r="C30" i="24" s="1"/>
  <c r="B94" i="6"/>
  <c r="C29" i="24" s="1"/>
  <c r="B93" i="6"/>
  <c r="C28" i="24" s="1"/>
  <c r="B92" i="6"/>
  <c r="B90" i="6"/>
  <c r="C25" i="24" s="1"/>
  <c r="B89" i="6"/>
  <c r="C24" i="24" s="1"/>
  <c r="B88" i="6"/>
  <c r="Q15" i="24"/>
  <c r="B104" i="6" l="1"/>
  <c r="N15" i="24"/>
  <c r="P15" i="24" s="1"/>
  <c r="I18" i="25"/>
  <c r="J18" i="25" s="1"/>
  <c r="Q16" i="24"/>
  <c r="R16" i="24"/>
  <c r="R15" i="24"/>
  <c r="N16" i="24"/>
  <c r="P16" i="24" s="1"/>
  <c r="N14" i="24"/>
  <c r="P14" i="24" s="1"/>
  <c r="R46" i="24"/>
  <c r="C23" i="24"/>
  <c r="J28" i="25" s="1"/>
  <c r="K28" i="25" s="1"/>
  <c r="J56" i="25"/>
  <c r="K56" i="25" s="1"/>
  <c r="J55" i="25"/>
  <c r="K55" i="25" s="1"/>
  <c r="J58" i="25"/>
  <c r="K58" i="25" s="1"/>
  <c r="J57" i="25"/>
  <c r="K57" i="25" s="1"/>
  <c r="J49" i="25"/>
  <c r="K49" i="25" s="1"/>
  <c r="J51" i="25"/>
  <c r="K51" i="25" s="1"/>
  <c r="J52" i="25"/>
  <c r="K52" i="25" s="1"/>
  <c r="J53" i="25"/>
  <c r="K53" i="25" s="1"/>
  <c r="J54" i="25"/>
  <c r="K54" i="25" s="1"/>
  <c r="J29" i="25"/>
  <c r="J30" i="25"/>
  <c r="K30" i="25" s="1"/>
  <c r="J31" i="25"/>
  <c r="K31" i="25" s="1"/>
  <c r="J32" i="25"/>
  <c r="K32" i="25" s="1"/>
  <c r="J33" i="25"/>
  <c r="K33" i="25" s="1"/>
  <c r="J34" i="25"/>
  <c r="K34" i="25" s="1"/>
  <c r="J35" i="25"/>
  <c r="K35" i="25" s="1"/>
  <c r="J36" i="25"/>
  <c r="K36" i="25" s="1"/>
  <c r="J37" i="25"/>
  <c r="K37" i="25" s="1"/>
  <c r="J38" i="25"/>
  <c r="K38" i="25" s="1"/>
  <c r="J39" i="25"/>
  <c r="K39" i="25" s="1"/>
  <c r="J40" i="25"/>
  <c r="K40" i="25" s="1"/>
  <c r="J41" i="25"/>
  <c r="K41" i="25" s="1"/>
  <c r="J42" i="25"/>
  <c r="K42" i="25" s="1"/>
  <c r="J43" i="25"/>
  <c r="K43" i="25" s="1"/>
  <c r="J19" i="25"/>
  <c r="I20" i="25"/>
  <c r="J20" i="25" s="1"/>
  <c r="I21" i="25"/>
  <c r="J21" i="25" s="1"/>
  <c r="I12" i="25"/>
  <c r="I10" i="25"/>
  <c r="I9" i="25"/>
  <c r="I11" i="25" s="1"/>
  <c r="K4" i="25"/>
  <c r="C4" i="25"/>
  <c r="Q55" i="24"/>
  <c r="R55" i="24" s="1"/>
  <c r="L55" i="24"/>
  <c r="Q54" i="24"/>
  <c r="R54" i="24" s="1"/>
  <c r="L54" i="24"/>
  <c r="Q53" i="24"/>
  <c r="R53" i="24" s="1"/>
  <c r="L53" i="24"/>
  <c r="Q52" i="24"/>
  <c r="R52" i="24" s="1"/>
  <c r="L52" i="24"/>
  <c r="Q51" i="24"/>
  <c r="R51" i="24" s="1"/>
  <c r="L51" i="24"/>
  <c r="Q50" i="24"/>
  <c r="R50" i="24" s="1"/>
  <c r="L50" i="24"/>
  <c r="Q49" i="24"/>
  <c r="R49" i="24" s="1"/>
  <c r="L49" i="24"/>
  <c r="Q48" i="24"/>
  <c r="R48" i="24" s="1"/>
  <c r="L48" i="24"/>
  <c r="Q47" i="24"/>
  <c r="R47" i="24" s="1"/>
  <c r="L47" i="24"/>
  <c r="L45" i="24"/>
  <c r="Q44" i="24"/>
  <c r="R44" i="24" s="1"/>
  <c r="L44" i="24"/>
  <c r="L42" i="24"/>
  <c r="L41" i="24"/>
  <c r="Q38" i="24"/>
  <c r="R38" i="24" s="1"/>
  <c r="P38" i="24"/>
  <c r="L38" i="24"/>
  <c r="Q37" i="24"/>
  <c r="R37" i="24" s="1"/>
  <c r="P37" i="24"/>
  <c r="L37" i="24"/>
  <c r="Q36" i="24"/>
  <c r="R36" i="24" s="1"/>
  <c r="P36" i="24"/>
  <c r="L36" i="24"/>
  <c r="Q35" i="24"/>
  <c r="R35" i="24" s="1"/>
  <c r="P35" i="24"/>
  <c r="L35" i="24"/>
  <c r="Q34" i="24"/>
  <c r="R34" i="24" s="1"/>
  <c r="P34" i="24"/>
  <c r="L34" i="24"/>
  <c r="Q33" i="24"/>
  <c r="R33" i="24" s="1"/>
  <c r="P33" i="24"/>
  <c r="L33" i="24"/>
  <c r="Q32" i="24"/>
  <c r="R32" i="24" s="1"/>
  <c r="P32" i="24"/>
  <c r="L32" i="24"/>
  <c r="Q31" i="24"/>
  <c r="R31" i="24" s="1"/>
  <c r="P31" i="24"/>
  <c r="L31" i="24"/>
  <c r="Q30" i="24"/>
  <c r="R30" i="24" s="1"/>
  <c r="P30" i="24"/>
  <c r="L30" i="24"/>
  <c r="Q29" i="24"/>
  <c r="R29" i="24" s="1"/>
  <c r="P29" i="24"/>
  <c r="L29" i="24"/>
  <c r="Q28" i="24"/>
  <c r="R28" i="24" s="1"/>
  <c r="P28" i="24"/>
  <c r="L28" i="24"/>
  <c r="Q27" i="24"/>
  <c r="R27" i="24" s="1"/>
  <c r="L27" i="24"/>
  <c r="Q26" i="24"/>
  <c r="R26" i="24" s="1"/>
  <c r="P26" i="24"/>
  <c r="L26" i="24"/>
  <c r="Q25" i="24"/>
  <c r="R25" i="24" s="1"/>
  <c r="P25" i="24"/>
  <c r="L25" i="24"/>
  <c r="Q24" i="24"/>
  <c r="R24" i="24" s="1"/>
  <c r="P24" i="24"/>
  <c r="L24" i="24"/>
  <c r="P23" i="24"/>
  <c r="L23" i="24"/>
  <c r="L22" i="24"/>
  <c r="Q19" i="24"/>
  <c r="R19" i="24" s="1"/>
  <c r="N19" i="24"/>
  <c r="P19" i="24" s="1"/>
  <c r="Q18" i="24"/>
  <c r="R18" i="24" s="1"/>
  <c r="N18" i="24"/>
  <c r="P18" i="24" s="1"/>
  <c r="Q17" i="24"/>
  <c r="R17" i="24" s="1"/>
  <c r="N17" i="24"/>
  <c r="P17" i="24" s="1"/>
  <c r="Q14" i="24"/>
  <c r="R14" i="24" s="1"/>
  <c r="L13" i="24"/>
  <c r="C10" i="24"/>
  <c r="P8" i="24" s="1"/>
  <c r="R1" i="24"/>
  <c r="Q1" i="24"/>
  <c r="Q23" i="24" l="1"/>
  <c r="R23" i="24" s="1"/>
  <c r="R39" i="24" s="1"/>
  <c r="J13" i="25"/>
  <c r="J14" i="25" s="1"/>
  <c r="J23" i="25" s="1"/>
  <c r="P20" i="24"/>
  <c r="P9" i="24" s="1"/>
  <c r="P1" i="24" s="1"/>
  <c r="R2" i="24" s="1"/>
  <c r="K29" i="25"/>
  <c r="K44" i="25" s="1"/>
  <c r="J22" i="25"/>
  <c r="Q8" i="24"/>
  <c r="Q20" i="24" s="1"/>
  <c r="Q39" i="24" l="1"/>
  <c r="J24" i="25"/>
  <c r="J64" i="25" s="1"/>
  <c r="F4" i="24"/>
  <c r="R8" i="24"/>
  <c r="G4" i="24" l="1"/>
  <c r="Q9" i="24"/>
  <c r="R20" i="24"/>
  <c r="R9" i="24" l="1"/>
  <c r="J3" i="21" l="1"/>
  <c r="H61" i="21"/>
  <c r="K61" i="21" s="1"/>
  <c r="K51" i="21" s="1"/>
  <c r="H47" i="21"/>
  <c r="K47" i="21" s="1"/>
  <c r="H46" i="21"/>
  <c r="K46" i="21" s="1"/>
  <c r="H45" i="21"/>
  <c r="K45" i="21" s="1"/>
  <c r="H44" i="21"/>
  <c r="K44" i="21" s="1"/>
  <c r="H43" i="21"/>
  <c r="K43" i="21" s="1"/>
  <c r="H42" i="21"/>
  <c r="K42" i="21" s="1"/>
  <c r="H41" i="21"/>
  <c r="K41" i="21" s="1"/>
  <c r="H40" i="21"/>
  <c r="K40" i="21" s="1"/>
  <c r="H39" i="21"/>
  <c r="K39" i="21" s="1"/>
  <c r="H38" i="21"/>
  <c r="K38" i="21" s="1"/>
  <c r="H36" i="21"/>
  <c r="K36" i="21" s="1"/>
  <c r="H35" i="21"/>
  <c r="K35" i="21" s="1"/>
  <c r="H34" i="21"/>
  <c r="K34" i="21" s="1"/>
  <c r="H33" i="21"/>
  <c r="K33" i="21" s="1"/>
  <c r="H32" i="21"/>
  <c r="K32" i="21" s="1"/>
  <c r="H30" i="21"/>
  <c r="K30" i="21" s="1"/>
  <c r="H29" i="21"/>
  <c r="K29" i="21" s="1"/>
  <c r="H28" i="21"/>
  <c r="K28" i="21" s="1"/>
  <c r="K27" i="21" s="1"/>
  <c r="H26" i="21"/>
  <c r="K26" i="21" s="1"/>
  <c r="H19" i="21"/>
  <c r="K19" i="21" s="1"/>
  <c r="H18" i="21"/>
  <c r="K18" i="21" s="1"/>
  <c r="H17" i="21"/>
  <c r="K17" i="21" s="1"/>
  <c r="H16" i="21"/>
  <c r="K16" i="21" s="1"/>
  <c r="H13" i="21"/>
  <c r="K13" i="21" s="1"/>
  <c r="H5" i="21"/>
  <c r="K5" i="21" s="1"/>
  <c r="H6" i="21"/>
  <c r="K6" i="21" s="1"/>
  <c r="H7" i="21"/>
  <c r="K7" i="21" s="1"/>
  <c r="H8" i="21"/>
  <c r="K8" i="21" s="1"/>
  <c r="H9" i="21"/>
  <c r="K9" i="21" s="1"/>
  <c r="H10" i="21"/>
  <c r="K10" i="21" s="1"/>
  <c r="H11" i="21"/>
  <c r="K11" i="21" s="1"/>
  <c r="H4" i="21"/>
  <c r="K4" i="21" s="1"/>
  <c r="G14" i="21"/>
  <c r="H14" i="21" s="1"/>
  <c r="K14" i="21" s="1"/>
  <c r="F24" i="21"/>
  <c r="G24" i="21" s="1"/>
  <c r="H24" i="21" s="1"/>
  <c r="K24" i="21" s="1"/>
  <c r="F23" i="21"/>
  <c r="G23" i="21" s="1"/>
  <c r="H23" i="21" s="1"/>
  <c r="K23" i="21" s="1"/>
  <c r="F22" i="21"/>
  <c r="G22" i="21" s="1"/>
  <c r="H22" i="21" s="1"/>
  <c r="K22" i="21" s="1"/>
  <c r="F21" i="21"/>
  <c r="G21" i="21" s="1"/>
  <c r="H21" i="21" s="1"/>
  <c r="K21" i="21" s="1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2" i="19"/>
  <c r="I73" i="19"/>
  <c r="I74" i="19"/>
  <c r="I75" i="19"/>
  <c r="I76" i="19"/>
  <c r="I77" i="19"/>
  <c r="U11" i="18"/>
  <c r="V11" i="18"/>
  <c r="W11" i="18"/>
  <c r="U12" i="18"/>
  <c r="V12" i="18"/>
  <c r="W12" i="18"/>
  <c r="U13" i="18"/>
  <c r="V13" i="18"/>
  <c r="W13" i="18"/>
  <c r="U14" i="18"/>
  <c r="V14" i="18"/>
  <c r="W14" i="18"/>
  <c r="U15" i="18"/>
  <c r="V15" i="18"/>
  <c r="W15" i="18"/>
  <c r="U16" i="18"/>
  <c r="V16" i="18"/>
  <c r="W16" i="18"/>
  <c r="U17" i="18"/>
  <c r="V17" i="18"/>
  <c r="W17" i="18"/>
  <c r="U18" i="18"/>
  <c r="V18" i="18"/>
  <c r="W18" i="18"/>
  <c r="U19" i="18"/>
  <c r="V19" i="18"/>
  <c r="W19" i="18"/>
  <c r="U20" i="18"/>
  <c r="V20" i="18"/>
  <c r="W20" i="18"/>
  <c r="U21" i="18"/>
  <c r="V21" i="18"/>
  <c r="W21" i="18"/>
  <c r="U22" i="18"/>
  <c r="V22" i="18"/>
  <c r="W22" i="18"/>
  <c r="U23" i="18"/>
  <c r="V23" i="18"/>
  <c r="W23" i="18"/>
  <c r="U24" i="18"/>
  <c r="V24" i="18"/>
  <c r="W24" i="18"/>
  <c r="U25" i="18"/>
  <c r="V25" i="18"/>
  <c r="W25" i="18"/>
  <c r="U26" i="18"/>
  <c r="V26" i="18"/>
  <c r="W26" i="18"/>
  <c r="U28" i="18"/>
  <c r="V28" i="18"/>
  <c r="W28" i="18"/>
  <c r="U29" i="18"/>
  <c r="V29" i="18"/>
  <c r="W29" i="18"/>
  <c r="U30" i="18"/>
  <c r="V30" i="18"/>
  <c r="W30" i="18"/>
  <c r="U31" i="18"/>
  <c r="V31" i="18"/>
  <c r="W31" i="18"/>
  <c r="U32" i="18"/>
  <c r="V32" i="18"/>
  <c r="W32" i="18"/>
  <c r="U33" i="18"/>
  <c r="V33" i="18"/>
  <c r="W33" i="18"/>
  <c r="U34" i="18"/>
  <c r="V34" i="18"/>
  <c r="W34" i="18"/>
  <c r="U35" i="18"/>
  <c r="V35" i="18"/>
  <c r="W35" i="18"/>
  <c r="U36" i="18"/>
  <c r="V36" i="18"/>
  <c r="W36" i="18"/>
  <c r="U37" i="18"/>
  <c r="V37" i="18"/>
  <c r="W37" i="18"/>
  <c r="U38" i="18"/>
  <c r="V38" i="18"/>
  <c r="W38" i="18"/>
  <c r="U39" i="18"/>
  <c r="V39" i="18"/>
  <c r="W39" i="18"/>
  <c r="U22" i="1"/>
  <c r="I5" i="16"/>
  <c r="F44" i="18"/>
  <c r="V44" i="18" s="1"/>
  <c r="F17" i="1"/>
  <c r="N17" i="1" s="1"/>
  <c r="F18" i="1"/>
  <c r="N18" i="1" s="1"/>
  <c r="D20" i="19"/>
  <c r="T20" i="19" s="1"/>
  <c r="J20" i="19" s="1"/>
  <c r="H20" i="19"/>
  <c r="U20" i="19"/>
  <c r="K20" i="19" s="1"/>
  <c r="N20" i="19"/>
  <c r="O20" i="19"/>
  <c r="P20" i="19"/>
  <c r="Q20" i="19"/>
  <c r="R20" i="19"/>
  <c r="O11" i="19"/>
  <c r="P11" i="19"/>
  <c r="I11" i="19" s="1"/>
  <c r="Q11" i="19"/>
  <c r="R11" i="19"/>
  <c r="O12" i="19"/>
  <c r="P12" i="19"/>
  <c r="Q12" i="19"/>
  <c r="R12" i="19"/>
  <c r="O13" i="19"/>
  <c r="P13" i="19"/>
  <c r="Q13" i="19"/>
  <c r="R13" i="19"/>
  <c r="O14" i="19"/>
  <c r="P14" i="19"/>
  <c r="Q14" i="19"/>
  <c r="R14" i="19"/>
  <c r="O15" i="19"/>
  <c r="P15" i="19"/>
  <c r="Q15" i="19"/>
  <c r="R15" i="19"/>
  <c r="O16" i="19"/>
  <c r="P16" i="19"/>
  <c r="Q16" i="19"/>
  <c r="R16" i="19"/>
  <c r="O17" i="19"/>
  <c r="P17" i="19"/>
  <c r="Q17" i="19"/>
  <c r="R17" i="19"/>
  <c r="O18" i="19"/>
  <c r="P18" i="19"/>
  <c r="Q18" i="19"/>
  <c r="R18" i="19"/>
  <c r="O19" i="19"/>
  <c r="P19" i="19"/>
  <c r="Q19" i="19"/>
  <c r="R19" i="19"/>
  <c r="O21" i="19"/>
  <c r="P21" i="19"/>
  <c r="Q21" i="19"/>
  <c r="R21" i="19"/>
  <c r="O22" i="19"/>
  <c r="P22" i="19"/>
  <c r="I22" i="19" s="1"/>
  <c r="Q22" i="19"/>
  <c r="R22" i="19"/>
  <c r="O23" i="19"/>
  <c r="P23" i="19"/>
  <c r="Q23" i="19"/>
  <c r="R23" i="19"/>
  <c r="O24" i="19"/>
  <c r="P24" i="19"/>
  <c r="Q24" i="19"/>
  <c r="R24" i="19"/>
  <c r="O25" i="19"/>
  <c r="P25" i="19"/>
  <c r="Q25" i="19"/>
  <c r="R25" i="19"/>
  <c r="O26" i="19"/>
  <c r="P26" i="19"/>
  <c r="Q26" i="19"/>
  <c r="R26" i="19"/>
  <c r="O27" i="19"/>
  <c r="P27" i="19"/>
  <c r="Q27" i="19"/>
  <c r="R27" i="19"/>
  <c r="O28" i="19"/>
  <c r="P28" i="19"/>
  <c r="Q28" i="19"/>
  <c r="R28" i="19"/>
  <c r="O29" i="19"/>
  <c r="P29" i="19"/>
  <c r="Q29" i="19"/>
  <c r="R29" i="19"/>
  <c r="O30" i="19"/>
  <c r="P30" i="19"/>
  <c r="Q30" i="19"/>
  <c r="R30" i="19"/>
  <c r="O31" i="19"/>
  <c r="P31" i="19"/>
  <c r="Q31" i="19"/>
  <c r="R31" i="19"/>
  <c r="O32" i="19"/>
  <c r="P32" i="19"/>
  <c r="Q32" i="19"/>
  <c r="R32" i="19"/>
  <c r="O33" i="19"/>
  <c r="P33" i="19"/>
  <c r="Q33" i="19"/>
  <c r="R33" i="19"/>
  <c r="O34" i="19"/>
  <c r="P34" i="19"/>
  <c r="Q34" i="19"/>
  <c r="R34" i="19"/>
  <c r="O35" i="19"/>
  <c r="P35" i="19"/>
  <c r="Q35" i="19"/>
  <c r="R35" i="19"/>
  <c r="O36" i="19"/>
  <c r="P36" i="19"/>
  <c r="Q36" i="19"/>
  <c r="R36" i="19"/>
  <c r="O37" i="19"/>
  <c r="P37" i="19"/>
  <c r="Q37" i="19"/>
  <c r="R37" i="19"/>
  <c r="O38" i="19"/>
  <c r="P38" i="19"/>
  <c r="Q38" i="19"/>
  <c r="R38" i="19"/>
  <c r="O39" i="19"/>
  <c r="P39" i="19"/>
  <c r="Q39" i="19"/>
  <c r="R39" i="19"/>
  <c r="O40" i="19"/>
  <c r="P40" i="19"/>
  <c r="Q40" i="19"/>
  <c r="R40" i="19"/>
  <c r="O41" i="19"/>
  <c r="P41" i="19"/>
  <c r="Q41" i="19"/>
  <c r="R41" i="19"/>
  <c r="O42" i="19"/>
  <c r="P42" i="19"/>
  <c r="Q42" i="19"/>
  <c r="R42" i="19"/>
  <c r="O43" i="19"/>
  <c r="P43" i="19"/>
  <c r="Q43" i="19"/>
  <c r="R43" i="19"/>
  <c r="O44" i="19"/>
  <c r="P44" i="19"/>
  <c r="Q44" i="19"/>
  <c r="R44" i="19"/>
  <c r="O45" i="19"/>
  <c r="P45" i="19"/>
  <c r="Q45" i="19"/>
  <c r="R45" i="19"/>
  <c r="O46" i="19"/>
  <c r="P46" i="19"/>
  <c r="Q46" i="19"/>
  <c r="R46" i="19"/>
  <c r="O47" i="19"/>
  <c r="P47" i="19"/>
  <c r="Q47" i="19"/>
  <c r="R47" i="19"/>
  <c r="O48" i="19"/>
  <c r="P48" i="19"/>
  <c r="Q48" i="19"/>
  <c r="R48" i="19"/>
  <c r="O49" i="19"/>
  <c r="P49" i="19"/>
  <c r="Q49" i="19"/>
  <c r="R49" i="19"/>
  <c r="O50" i="19"/>
  <c r="P50" i="19"/>
  <c r="Q50" i="19"/>
  <c r="R50" i="19"/>
  <c r="O51" i="19"/>
  <c r="P51" i="19"/>
  <c r="Q51" i="19"/>
  <c r="R51" i="19"/>
  <c r="O52" i="19"/>
  <c r="P52" i="19"/>
  <c r="Q52" i="19"/>
  <c r="R52" i="19"/>
  <c r="O53" i="19"/>
  <c r="P53" i="19"/>
  <c r="Q53" i="19"/>
  <c r="R53" i="19"/>
  <c r="O54" i="19"/>
  <c r="P54" i="19"/>
  <c r="Q54" i="19"/>
  <c r="R54" i="19"/>
  <c r="O55" i="19"/>
  <c r="P55" i="19"/>
  <c r="Q55" i="19"/>
  <c r="R55" i="19"/>
  <c r="O56" i="19"/>
  <c r="P56" i="19"/>
  <c r="Q56" i="19"/>
  <c r="R56" i="19"/>
  <c r="O57" i="19"/>
  <c r="P57" i="19"/>
  <c r="Q57" i="19"/>
  <c r="R57" i="19"/>
  <c r="O58" i="19"/>
  <c r="P58" i="19"/>
  <c r="Q58" i="19"/>
  <c r="R58" i="19"/>
  <c r="O59" i="19"/>
  <c r="P59" i="19"/>
  <c r="Q59" i="19"/>
  <c r="R59" i="19"/>
  <c r="O60" i="19"/>
  <c r="P60" i="19"/>
  <c r="Q60" i="19"/>
  <c r="R60" i="19"/>
  <c r="O61" i="19"/>
  <c r="P61" i="19"/>
  <c r="Q61" i="19"/>
  <c r="R61" i="19"/>
  <c r="O62" i="19"/>
  <c r="P62" i="19"/>
  <c r="Q62" i="19"/>
  <c r="R62" i="19"/>
  <c r="O63" i="19"/>
  <c r="P63" i="19"/>
  <c r="Q63" i="19"/>
  <c r="R63" i="19"/>
  <c r="O64" i="19"/>
  <c r="P64" i="19"/>
  <c r="Q64" i="19"/>
  <c r="R64" i="19"/>
  <c r="O65" i="19"/>
  <c r="P65" i="19"/>
  <c r="Q65" i="19"/>
  <c r="R65" i="19"/>
  <c r="O66" i="19"/>
  <c r="P66" i="19"/>
  <c r="Q66" i="19"/>
  <c r="R66" i="19"/>
  <c r="O67" i="19"/>
  <c r="P67" i="19"/>
  <c r="Q67" i="19"/>
  <c r="R67" i="19"/>
  <c r="O68" i="19"/>
  <c r="P68" i="19"/>
  <c r="Q68" i="19"/>
  <c r="R68" i="19"/>
  <c r="O69" i="19"/>
  <c r="P69" i="19"/>
  <c r="Q69" i="19"/>
  <c r="R69" i="19"/>
  <c r="O70" i="19"/>
  <c r="P70" i="19"/>
  <c r="Q70" i="19"/>
  <c r="R70" i="19"/>
  <c r="O71" i="19"/>
  <c r="P71" i="19"/>
  <c r="I71" i="19" s="1"/>
  <c r="Q71" i="19"/>
  <c r="R71" i="19"/>
  <c r="O72" i="19"/>
  <c r="P72" i="19"/>
  <c r="Q72" i="19"/>
  <c r="R72" i="19"/>
  <c r="O73" i="19"/>
  <c r="P73" i="19"/>
  <c r="Q73" i="19"/>
  <c r="R73" i="19"/>
  <c r="O74" i="19"/>
  <c r="P74" i="19"/>
  <c r="Q74" i="19"/>
  <c r="R74" i="19"/>
  <c r="O75" i="19"/>
  <c r="P75" i="19"/>
  <c r="Q75" i="19"/>
  <c r="R75" i="19"/>
  <c r="O76" i="19"/>
  <c r="P76" i="19"/>
  <c r="Q76" i="19"/>
  <c r="R76" i="19"/>
  <c r="O77" i="19"/>
  <c r="P77" i="19"/>
  <c r="Q77" i="19"/>
  <c r="R77" i="19"/>
  <c r="O78" i="19"/>
  <c r="P78" i="19"/>
  <c r="I78" i="19" s="1"/>
  <c r="Q78" i="19"/>
  <c r="R78" i="19"/>
  <c r="O10" i="19"/>
  <c r="P10" i="19"/>
  <c r="I10" i="19" s="1"/>
  <c r="Q10" i="19"/>
  <c r="R10" i="19"/>
  <c r="N11" i="19"/>
  <c r="N12" i="19"/>
  <c r="N13" i="19"/>
  <c r="N14" i="19"/>
  <c r="N15" i="19"/>
  <c r="N16" i="19"/>
  <c r="N17" i="19"/>
  <c r="N18" i="19"/>
  <c r="N19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10" i="19"/>
  <c r="E7" i="20"/>
  <c r="E8" i="20"/>
  <c r="C4" i="16"/>
  <c r="D8" i="16"/>
  <c r="C15" i="16"/>
  <c r="D15" i="16" s="1"/>
  <c r="E15" i="16" s="1"/>
  <c r="B1" i="6"/>
  <c r="K6" i="6"/>
  <c r="L6" i="6"/>
  <c r="M6" i="6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B42" i="6"/>
  <c r="B80" i="6" s="1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B65" i="6"/>
  <c r="B82" i="6" s="1"/>
  <c r="K67" i="6"/>
  <c r="L67" i="6"/>
  <c r="M67" i="6"/>
  <c r="K68" i="6"/>
  <c r="L68" i="6"/>
  <c r="M68" i="6"/>
  <c r="K69" i="6"/>
  <c r="L69" i="6"/>
  <c r="M69" i="6"/>
  <c r="K70" i="6"/>
  <c r="L70" i="6"/>
  <c r="M70" i="6"/>
  <c r="B71" i="6"/>
  <c r="B83" i="6" s="1"/>
  <c r="K73" i="6"/>
  <c r="L73" i="6"/>
  <c r="M73" i="6"/>
  <c r="K74" i="6"/>
  <c r="L74" i="6"/>
  <c r="M74" i="6"/>
  <c r="K75" i="6"/>
  <c r="L75" i="6"/>
  <c r="M75" i="6"/>
  <c r="B76" i="6"/>
  <c r="B84" i="6" s="1"/>
  <c r="B1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2" i="2"/>
  <c r="G32" i="2"/>
  <c r="H32" i="2"/>
  <c r="F33" i="2"/>
  <c r="G33" i="2"/>
  <c r="H33" i="2"/>
  <c r="F34" i="2"/>
  <c r="G34" i="2"/>
  <c r="H34" i="2"/>
  <c r="F35" i="2"/>
  <c r="G35" i="2"/>
  <c r="H35" i="2"/>
  <c r="F37" i="2"/>
  <c r="G37" i="2"/>
  <c r="H37" i="2"/>
  <c r="F38" i="2"/>
  <c r="G38" i="2"/>
  <c r="H38" i="2"/>
  <c r="F39" i="2"/>
  <c r="G39" i="2"/>
  <c r="H39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7" i="2"/>
  <c r="G47" i="2"/>
  <c r="H47" i="2"/>
  <c r="F48" i="2"/>
  <c r="G48" i="2"/>
  <c r="H48" i="2"/>
  <c r="F49" i="2"/>
  <c r="G49" i="2"/>
  <c r="H49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D2" i="19"/>
  <c r="D4" i="19"/>
  <c r="D10" i="19"/>
  <c r="T10" i="19" s="1"/>
  <c r="J10" i="19" s="1"/>
  <c r="H10" i="19"/>
  <c r="U10" i="19"/>
  <c r="K10" i="19" s="1"/>
  <c r="D11" i="19"/>
  <c r="T11" i="19" s="1"/>
  <c r="J11" i="19" s="1"/>
  <c r="H11" i="19"/>
  <c r="U11" i="19"/>
  <c r="K11" i="19" s="1"/>
  <c r="D12" i="19"/>
  <c r="T12" i="19" s="1"/>
  <c r="J12" i="19" s="1"/>
  <c r="H12" i="19"/>
  <c r="U12" i="19"/>
  <c r="K12" i="19" s="1"/>
  <c r="D13" i="19"/>
  <c r="T13" i="19" s="1"/>
  <c r="J13" i="19" s="1"/>
  <c r="H13" i="19"/>
  <c r="U13" i="19"/>
  <c r="K13" i="19" s="1"/>
  <c r="D14" i="19"/>
  <c r="T14" i="19" s="1"/>
  <c r="J14" i="19" s="1"/>
  <c r="H14" i="19"/>
  <c r="U14" i="19"/>
  <c r="K14" i="19" s="1"/>
  <c r="D15" i="19"/>
  <c r="T15" i="19" s="1"/>
  <c r="J15" i="19" s="1"/>
  <c r="H15" i="19"/>
  <c r="U15" i="19"/>
  <c r="K15" i="19" s="1"/>
  <c r="D16" i="19"/>
  <c r="T16" i="19" s="1"/>
  <c r="J16" i="19" s="1"/>
  <c r="H16" i="19"/>
  <c r="U16" i="19"/>
  <c r="K16" i="19" s="1"/>
  <c r="D17" i="19"/>
  <c r="T17" i="19" s="1"/>
  <c r="J17" i="19" s="1"/>
  <c r="H17" i="19"/>
  <c r="U17" i="19"/>
  <c r="K17" i="19" s="1"/>
  <c r="D18" i="19"/>
  <c r="T18" i="19" s="1"/>
  <c r="J18" i="19" s="1"/>
  <c r="H18" i="19"/>
  <c r="U18" i="19"/>
  <c r="K18" i="19" s="1"/>
  <c r="D19" i="19"/>
  <c r="T19" i="19" s="1"/>
  <c r="J19" i="19" s="1"/>
  <c r="H19" i="19"/>
  <c r="U19" i="19"/>
  <c r="K19" i="19" s="1"/>
  <c r="D21" i="19"/>
  <c r="T21" i="19" s="1"/>
  <c r="J21" i="19" s="1"/>
  <c r="H21" i="19"/>
  <c r="U21" i="19"/>
  <c r="K21" i="19" s="1"/>
  <c r="D22" i="19"/>
  <c r="T22" i="19" s="1"/>
  <c r="J22" i="19" s="1"/>
  <c r="H22" i="19"/>
  <c r="U22" i="19"/>
  <c r="K22" i="19" s="1"/>
  <c r="D23" i="19"/>
  <c r="T23" i="19" s="1"/>
  <c r="J23" i="19" s="1"/>
  <c r="H23" i="19"/>
  <c r="U23" i="19"/>
  <c r="K23" i="19" s="1"/>
  <c r="D24" i="19"/>
  <c r="T24" i="19" s="1"/>
  <c r="J24" i="19" s="1"/>
  <c r="H24" i="19"/>
  <c r="U24" i="19"/>
  <c r="K24" i="19" s="1"/>
  <c r="D25" i="19"/>
  <c r="T25" i="19" s="1"/>
  <c r="J25" i="19" s="1"/>
  <c r="H25" i="19"/>
  <c r="U25" i="19"/>
  <c r="K25" i="19" s="1"/>
  <c r="D26" i="19"/>
  <c r="T26" i="19" s="1"/>
  <c r="J26" i="19" s="1"/>
  <c r="H26" i="19"/>
  <c r="U26" i="19"/>
  <c r="K26" i="19" s="1"/>
  <c r="D27" i="19"/>
  <c r="T27" i="19" s="1"/>
  <c r="J27" i="19" s="1"/>
  <c r="H27" i="19"/>
  <c r="U27" i="19"/>
  <c r="K27" i="19" s="1"/>
  <c r="D28" i="19"/>
  <c r="T28" i="19" s="1"/>
  <c r="J28" i="19" s="1"/>
  <c r="H28" i="19"/>
  <c r="U28" i="19"/>
  <c r="K28" i="19" s="1"/>
  <c r="D29" i="19"/>
  <c r="T29" i="19" s="1"/>
  <c r="J29" i="19" s="1"/>
  <c r="H29" i="19"/>
  <c r="U29" i="19"/>
  <c r="K29" i="19" s="1"/>
  <c r="D30" i="19"/>
  <c r="T30" i="19" s="1"/>
  <c r="J30" i="19" s="1"/>
  <c r="H30" i="19"/>
  <c r="U30" i="19"/>
  <c r="K30" i="19" s="1"/>
  <c r="D31" i="19"/>
  <c r="T31" i="19" s="1"/>
  <c r="J31" i="19" s="1"/>
  <c r="H31" i="19"/>
  <c r="U31" i="19"/>
  <c r="K31" i="19" s="1"/>
  <c r="D32" i="19"/>
  <c r="T32" i="19" s="1"/>
  <c r="J32" i="19" s="1"/>
  <c r="H32" i="19"/>
  <c r="U32" i="19"/>
  <c r="K32" i="19" s="1"/>
  <c r="D33" i="19"/>
  <c r="T33" i="19" s="1"/>
  <c r="J33" i="19" s="1"/>
  <c r="H33" i="19"/>
  <c r="U33" i="19"/>
  <c r="K33" i="19" s="1"/>
  <c r="D34" i="19"/>
  <c r="T34" i="19" s="1"/>
  <c r="J34" i="19" s="1"/>
  <c r="H34" i="19"/>
  <c r="U34" i="19"/>
  <c r="K34" i="19" s="1"/>
  <c r="D35" i="19"/>
  <c r="T35" i="19" s="1"/>
  <c r="J35" i="19" s="1"/>
  <c r="H35" i="19"/>
  <c r="U35" i="19"/>
  <c r="K35" i="19" s="1"/>
  <c r="D36" i="19"/>
  <c r="T36" i="19" s="1"/>
  <c r="J36" i="19" s="1"/>
  <c r="H36" i="19"/>
  <c r="U36" i="19"/>
  <c r="K36" i="19" s="1"/>
  <c r="D37" i="19"/>
  <c r="T37" i="19" s="1"/>
  <c r="J37" i="19" s="1"/>
  <c r="H37" i="19"/>
  <c r="U37" i="19"/>
  <c r="K37" i="19" s="1"/>
  <c r="D38" i="19"/>
  <c r="T38" i="19" s="1"/>
  <c r="J38" i="19" s="1"/>
  <c r="H38" i="19"/>
  <c r="U38" i="19"/>
  <c r="K38" i="19" s="1"/>
  <c r="D39" i="19"/>
  <c r="T39" i="19" s="1"/>
  <c r="J39" i="19" s="1"/>
  <c r="H39" i="19"/>
  <c r="U39" i="19"/>
  <c r="K39" i="19" s="1"/>
  <c r="D40" i="19"/>
  <c r="T40" i="19" s="1"/>
  <c r="J40" i="19" s="1"/>
  <c r="H40" i="19"/>
  <c r="U40" i="19"/>
  <c r="K40" i="19" s="1"/>
  <c r="D41" i="19"/>
  <c r="T41" i="19" s="1"/>
  <c r="J41" i="19" s="1"/>
  <c r="H41" i="19"/>
  <c r="U41" i="19"/>
  <c r="K41" i="19" s="1"/>
  <c r="D42" i="19"/>
  <c r="T42" i="19" s="1"/>
  <c r="J42" i="19" s="1"/>
  <c r="H42" i="19"/>
  <c r="U42" i="19"/>
  <c r="K42" i="19" s="1"/>
  <c r="D43" i="19"/>
  <c r="T43" i="19" s="1"/>
  <c r="J43" i="19" s="1"/>
  <c r="H43" i="19"/>
  <c r="U43" i="19"/>
  <c r="K43" i="19" s="1"/>
  <c r="D44" i="19"/>
  <c r="T44" i="19" s="1"/>
  <c r="J44" i="19" s="1"/>
  <c r="H44" i="19"/>
  <c r="U44" i="19"/>
  <c r="K44" i="19" s="1"/>
  <c r="D45" i="19"/>
  <c r="T45" i="19" s="1"/>
  <c r="J45" i="19" s="1"/>
  <c r="H45" i="19"/>
  <c r="U45" i="19"/>
  <c r="K45" i="19" s="1"/>
  <c r="D46" i="19"/>
  <c r="T46" i="19" s="1"/>
  <c r="J46" i="19" s="1"/>
  <c r="H46" i="19"/>
  <c r="U46" i="19"/>
  <c r="K46" i="19" s="1"/>
  <c r="D47" i="19"/>
  <c r="T47" i="19" s="1"/>
  <c r="J47" i="19" s="1"/>
  <c r="H47" i="19"/>
  <c r="U47" i="19"/>
  <c r="K47" i="19" s="1"/>
  <c r="D48" i="19"/>
  <c r="T48" i="19" s="1"/>
  <c r="J48" i="19" s="1"/>
  <c r="H48" i="19"/>
  <c r="U48" i="19"/>
  <c r="K48" i="19" s="1"/>
  <c r="D49" i="19"/>
  <c r="T49" i="19" s="1"/>
  <c r="J49" i="19" s="1"/>
  <c r="H49" i="19"/>
  <c r="U49" i="19"/>
  <c r="K49" i="19" s="1"/>
  <c r="D50" i="19"/>
  <c r="T50" i="19" s="1"/>
  <c r="J50" i="19" s="1"/>
  <c r="H50" i="19"/>
  <c r="U50" i="19"/>
  <c r="K50" i="19" s="1"/>
  <c r="D51" i="19"/>
  <c r="T51" i="19" s="1"/>
  <c r="J51" i="19" s="1"/>
  <c r="H51" i="19"/>
  <c r="U51" i="19"/>
  <c r="K51" i="19" s="1"/>
  <c r="D52" i="19"/>
  <c r="T52" i="19" s="1"/>
  <c r="J52" i="19" s="1"/>
  <c r="H52" i="19"/>
  <c r="U52" i="19"/>
  <c r="K52" i="19" s="1"/>
  <c r="D53" i="19"/>
  <c r="T53" i="19" s="1"/>
  <c r="J53" i="19" s="1"/>
  <c r="H53" i="19"/>
  <c r="U53" i="19"/>
  <c r="K53" i="19" s="1"/>
  <c r="D54" i="19"/>
  <c r="T54" i="19" s="1"/>
  <c r="J54" i="19" s="1"/>
  <c r="H54" i="19"/>
  <c r="U54" i="19"/>
  <c r="K54" i="19" s="1"/>
  <c r="D55" i="19"/>
  <c r="T55" i="19" s="1"/>
  <c r="J55" i="19" s="1"/>
  <c r="H55" i="19"/>
  <c r="U55" i="19"/>
  <c r="K55" i="19" s="1"/>
  <c r="D56" i="19"/>
  <c r="T56" i="19" s="1"/>
  <c r="J56" i="19" s="1"/>
  <c r="H56" i="19"/>
  <c r="U56" i="19"/>
  <c r="K56" i="19" s="1"/>
  <c r="D57" i="19"/>
  <c r="T57" i="19" s="1"/>
  <c r="J57" i="19" s="1"/>
  <c r="H57" i="19"/>
  <c r="U57" i="19"/>
  <c r="K57" i="19" s="1"/>
  <c r="D58" i="19"/>
  <c r="T58" i="19" s="1"/>
  <c r="J58" i="19" s="1"/>
  <c r="H58" i="19"/>
  <c r="U58" i="19"/>
  <c r="K58" i="19" s="1"/>
  <c r="D59" i="19"/>
  <c r="T59" i="19" s="1"/>
  <c r="J59" i="19" s="1"/>
  <c r="H59" i="19"/>
  <c r="U59" i="19"/>
  <c r="K59" i="19" s="1"/>
  <c r="D60" i="19"/>
  <c r="T60" i="19" s="1"/>
  <c r="J60" i="19" s="1"/>
  <c r="H60" i="19"/>
  <c r="U60" i="19"/>
  <c r="K60" i="19" s="1"/>
  <c r="D61" i="19"/>
  <c r="T61" i="19" s="1"/>
  <c r="J61" i="19" s="1"/>
  <c r="H61" i="19"/>
  <c r="U61" i="19"/>
  <c r="K61" i="19" s="1"/>
  <c r="D62" i="19"/>
  <c r="T62" i="19" s="1"/>
  <c r="J62" i="19" s="1"/>
  <c r="H62" i="19"/>
  <c r="U62" i="19"/>
  <c r="K62" i="19" s="1"/>
  <c r="D63" i="19"/>
  <c r="T63" i="19" s="1"/>
  <c r="J63" i="19" s="1"/>
  <c r="H63" i="19"/>
  <c r="U63" i="19"/>
  <c r="K63" i="19" s="1"/>
  <c r="D64" i="19"/>
  <c r="T64" i="19" s="1"/>
  <c r="J64" i="19" s="1"/>
  <c r="H64" i="19"/>
  <c r="U64" i="19"/>
  <c r="K64" i="19" s="1"/>
  <c r="D65" i="19"/>
  <c r="T65" i="19" s="1"/>
  <c r="J65" i="19" s="1"/>
  <c r="H65" i="19"/>
  <c r="U65" i="19"/>
  <c r="K65" i="19" s="1"/>
  <c r="D66" i="19"/>
  <c r="T66" i="19" s="1"/>
  <c r="J66" i="19" s="1"/>
  <c r="H66" i="19"/>
  <c r="U66" i="19"/>
  <c r="K66" i="19" s="1"/>
  <c r="D67" i="19"/>
  <c r="T67" i="19" s="1"/>
  <c r="J67" i="19" s="1"/>
  <c r="H67" i="19"/>
  <c r="U67" i="19"/>
  <c r="K67" i="19" s="1"/>
  <c r="D68" i="19"/>
  <c r="T68" i="19" s="1"/>
  <c r="J68" i="19" s="1"/>
  <c r="H68" i="19"/>
  <c r="U68" i="19"/>
  <c r="K68" i="19" s="1"/>
  <c r="D69" i="19"/>
  <c r="T69" i="19" s="1"/>
  <c r="J69" i="19" s="1"/>
  <c r="H69" i="19"/>
  <c r="U69" i="19"/>
  <c r="K69" i="19" s="1"/>
  <c r="D70" i="19"/>
  <c r="T70" i="19" s="1"/>
  <c r="J70" i="19" s="1"/>
  <c r="H70" i="19"/>
  <c r="U70" i="19"/>
  <c r="K70" i="19" s="1"/>
  <c r="D71" i="19"/>
  <c r="T71" i="19" s="1"/>
  <c r="J71" i="19" s="1"/>
  <c r="H71" i="19"/>
  <c r="U71" i="19"/>
  <c r="K71" i="19" s="1"/>
  <c r="D72" i="19"/>
  <c r="T72" i="19" s="1"/>
  <c r="J72" i="19" s="1"/>
  <c r="H72" i="19"/>
  <c r="U72" i="19"/>
  <c r="K72" i="19" s="1"/>
  <c r="D73" i="19"/>
  <c r="T73" i="19" s="1"/>
  <c r="J73" i="19" s="1"/>
  <c r="H73" i="19"/>
  <c r="U73" i="19"/>
  <c r="K73" i="19" s="1"/>
  <c r="D74" i="19"/>
  <c r="T74" i="19" s="1"/>
  <c r="J74" i="19" s="1"/>
  <c r="H74" i="19"/>
  <c r="U74" i="19"/>
  <c r="K74" i="19" s="1"/>
  <c r="D75" i="19"/>
  <c r="T75" i="19" s="1"/>
  <c r="J75" i="19" s="1"/>
  <c r="H75" i="19"/>
  <c r="U75" i="19"/>
  <c r="K75" i="19" s="1"/>
  <c r="D76" i="19"/>
  <c r="T76" i="19" s="1"/>
  <c r="J76" i="19" s="1"/>
  <c r="H76" i="19"/>
  <c r="U76" i="19"/>
  <c r="K76" i="19" s="1"/>
  <c r="D77" i="19"/>
  <c r="T77" i="19" s="1"/>
  <c r="J77" i="19" s="1"/>
  <c r="H77" i="19"/>
  <c r="U77" i="19"/>
  <c r="K77" i="19" s="1"/>
  <c r="D78" i="19"/>
  <c r="T78" i="19" s="1"/>
  <c r="J78" i="19" s="1"/>
  <c r="H78" i="19"/>
  <c r="U78" i="19"/>
  <c r="K78" i="19" s="1"/>
  <c r="D79" i="19"/>
  <c r="F80" i="19"/>
  <c r="G2" i="18"/>
  <c r="G3" i="18"/>
  <c r="F10" i="18"/>
  <c r="N10" i="18" s="1"/>
  <c r="O10" i="18"/>
  <c r="AS10" i="18"/>
  <c r="F11" i="18"/>
  <c r="N11" i="18" s="1"/>
  <c r="K11" i="18"/>
  <c r="O11" i="18"/>
  <c r="AS11" i="18"/>
  <c r="F12" i="18"/>
  <c r="N12" i="18" s="1"/>
  <c r="K12" i="18"/>
  <c r="O12" i="18"/>
  <c r="AS12" i="18"/>
  <c r="F13" i="18"/>
  <c r="N13" i="18" s="1"/>
  <c r="K13" i="18"/>
  <c r="O13" i="18"/>
  <c r="AS13" i="18"/>
  <c r="F14" i="18"/>
  <c r="N14" i="18" s="1"/>
  <c r="K14" i="18"/>
  <c r="O14" i="18"/>
  <c r="AS14" i="18"/>
  <c r="F15" i="18"/>
  <c r="K15" i="18"/>
  <c r="O15" i="18"/>
  <c r="AS15" i="18"/>
  <c r="F16" i="18"/>
  <c r="I16" i="18" s="1"/>
  <c r="O16" i="18"/>
  <c r="AS16" i="18"/>
  <c r="F17" i="18"/>
  <c r="N17" i="18" s="1"/>
  <c r="K17" i="18"/>
  <c r="O17" i="18"/>
  <c r="AS17" i="18"/>
  <c r="F18" i="18"/>
  <c r="N18" i="18" s="1"/>
  <c r="K18" i="18"/>
  <c r="O18" i="18"/>
  <c r="AS18" i="18"/>
  <c r="F19" i="18"/>
  <c r="N19" i="18" s="1"/>
  <c r="O19" i="18"/>
  <c r="AS19" i="18"/>
  <c r="F20" i="18"/>
  <c r="O20" i="18"/>
  <c r="P20" i="18" s="1"/>
  <c r="AS20" i="18"/>
  <c r="F21" i="18"/>
  <c r="N21" i="18" s="1"/>
  <c r="O21" i="18"/>
  <c r="AS21" i="18"/>
  <c r="F22" i="18"/>
  <c r="I22" i="18" s="1"/>
  <c r="O22" i="18"/>
  <c r="AS22" i="18"/>
  <c r="F23" i="18"/>
  <c r="I23" i="18" s="1"/>
  <c r="O23" i="18"/>
  <c r="AQ23" i="18"/>
  <c r="AS23" i="18"/>
  <c r="F24" i="18"/>
  <c r="I24" i="18" s="1"/>
  <c r="Z24" i="18" s="1"/>
  <c r="O24" i="18"/>
  <c r="AQ24" i="18"/>
  <c r="AS24" i="18"/>
  <c r="F25" i="18"/>
  <c r="N25" i="18" s="1"/>
  <c r="O25" i="18"/>
  <c r="AQ25" i="18"/>
  <c r="AS25" i="18"/>
  <c r="F26" i="18"/>
  <c r="I26" i="18" s="1"/>
  <c r="O26" i="18"/>
  <c r="AQ26" i="18"/>
  <c r="AS26" i="18"/>
  <c r="F27" i="18"/>
  <c r="U27" i="18" s="1"/>
  <c r="P27" i="18"/>
  <c r="X27" i="18"/>
  <c r="Y27" i="18"/>
  <c r="Z27" i="18"/>
  <c r="AS27" i="18"/>
  <c r="F28" i="18"/>
  <c r="P28" i="18"/>
  <c r="X28" i="18"/>
  <c r="Y28" i="18"/>
  <c r="Z28" i="18"/>
  <c r="AS28" i="18"/>
  <c r="F29" i="18"/>
  <c r="N29" i="18" s="1"/>
  <c r="O29" i="18"/>
  <c r="AS29" i="18"/>
  <c r="F30" i="18"/>
  <c r="I30" i="18" s="1"/>
  <c r="X30" i="18" s="1"/>
  <c r="AA30" i="18" s="1"/>
  <c r="Q30" i="18" s="1"/>
  <c r="O30" i="18"/>
  <c r="AS30" i="18"/>
  <c r="F31" i="18"/>
  <c r="I31" i="18" s="1"/>
  <c r="O31" i="18"/>
  <c r="AS31" i="18"/>
  <c r="F32" i="18"/>
  <c r="I32" i="18" s="1"/>
  <c r="O32" i="18"/>
  <c r="AS32" i="18"/>
  <c r="F33" i="18"/>
  <c r="I33" i="18" s="1"/>
  <c r="X33" i="18" s="1"/>
  <c r="O33" i="18"/>
  <c r="AS33" i="18"/>
  <c r="F34" i="18"/>
  <c r="N34" i="18" s="1"/>
  <c r="O34" i="18"/>
  <c r="AQ34" i="18"/>
  <c r="AS34" i="18"/>
  <c r="P34" i="18" s="1"/>
  <c r="F35" i="18"/>
  <c r="I35" i="18" s="1"/>
  <c r="X35" i="18" s="1"/>
  <c r="O35" i="18"/>
  <c r="AS35" i="18"/>
  <c r="F36" i="18"/>
  <c r="O36" i="18"/>
  <c r="AS36" i="18"/>
  <c r="F37" i="18"/>
  <c r="N37" i="18" s="1"/>
  <c r="O37" i="18"/>
  <c r="AS37" i="18"/>
  <c r="F38" i="18"/>
  <c r="I38" i="18" s="1"/>
  <c r="Y38" i="18" s="1"/>
  <c r="AB38" i="18" s="1"/>
  <c r="R38" i="18" s="1"/>
  <c r="O38" i="18"/>
  <c r="AS38" i="18"/>
  <c r="F39" i="18"/>
  <c r="I39" i="18" s="1"/>
  <c r="O39" i="18"/>
  <c r="AS39" i="18"/>
  <c r="F40" i="18"/>
  <c r="I40" i="18" s="1"/>
  <c r="O40" i="18"/>
  <c r="AS40" i="18"/>
  <c r="F41" i="18"/>
  <c r="U41" i="18" s="1"/>
  <c r="X41" i="18"/>
  <c r="Y41" i="18"/>
  <c r="Z41" i="18"/>
  <c r="AS41" i="18"/>
  <c r="F42" i="18"/>
  <c r="U42" i="18" s="1"/>
  <c r="X42" i="18"/>
  <c r="Y42" i="18"/>
  <c r="Z42" i="18"/>
  <c r="AS42" i="18"/>
  <c r="F43" i="18"/>
  <c r="U43" i="18" s="1"/>
  <c r="X43" i="18"/>
  <c r="Y43" i="18"/>
  <c r="Z43" i="18"/>
  <c r="AS43" i="18"/>
  <c r="X44" i="18"/>
  <c r="Y44" i="18"/>
  <c r="Z44" i="18"/>
  <c r="AS44" i="18"/>
  <c r="F45" i="18"/>
  <c r="U45" i="18" s="1"/>
  <c r="AA45" i="18" s="1"/>
  <c r="Q45" i="18" s="1"/>
  <c r="X45" i="18"/>
  <c r="Y45" i="18"/>
  <c r="Z45" i="18"/>
  <c r="AQ45" i="18"/>
  <c r="AS45" i="18"/>
  <c r="F46" i="18"/>
  <c r="U46" i="18" s="1"/>
  <c r="X46" i="18"/>
  <c r="Y46" i="18"/>
  <c r="Z46" i="18"/>
  <c r="AQ46" i="18"/>
  <c r="AS46" i="18"/>
  <c r="F47" i="18"/>
  <c r="W47" i="18" s="1"/>
  <c r="X47" i="18"/>
  <c r="Y47" i="18"/>
  <c r="Z47" i="18"/>
  <c r="AQ47" i="18"/>
  <c r="AS47" i="18"/>
  <c r="F48" i="18"/>
  <c r="U48" i="18" s="1"/>
  <c r="X48" i="18"/>
  <c r="Y48" i="18"/>
  <c r="Z48" i="18"/>
  <c r="AQ48" i="18"/>
  <c r="AS48" i="18"/>
  <c r="F49" i="18"/>
  <c r="U49" i="18" s="1"/>
  <c r="AA49" i="18" s="1"/>
  <c r="Q49" i="18" s="1"/>
  <c r="X49" i="18"/>
  <c r="Y49" i="18"/>
  <c r="Z49" i="18"/>
  <c r="AS49" i="18"/>
  <c r="F50" i="18"/>
  <c r="U50" i="18" s="1"/>
  <c r="X50" i="18"/>
  <c r="Y50" i="18"/>
  <c r="Z50" i="18"/>
  <c r="AS50" i="18"/>
  <c r="F51" i="18"/>
  <c r="V51" i="18" s="1"/>
  <c r="X51" i="18"/>
  <c r="Y51" i="18"/>
  <c r="Z51" i="18"/>
  <c r="AS51" i="18"/>
  <c r="F52" i="18"/>
  <c r="W52" i="18" s="1"/>
  <c r="X52" i="18"/>
  <c r="Y52" i="18"/>
  <c r="Z52" i="18"/>
  <c r="AS52" i="18"/>
  <c r="F53" i="18"/>
  <c r="V53" i="18" s="1"/>
  <c r="X53" i="18"/>
  <c r="Y53" i="18"/>
  <c r="Z53" i="18"/>
  <c r="AS53" i="18"/>
  <c r="F54" i="18"/>
  <c r="U54" i="18" s="1"/>
  <c r="X54" i="18"/>
  <c r="Y54" i="18"/>
  <c r="Z54" i="18"/>
  <c r="AQ54" i="18"/>
  <c r="AS54" i="18"/>
  <c r="F55" i="18"/>
  <c r="X55" i="18"/>
  <c r="Y55" i="18"/>
  <c r="Z55" i="18"/>
  <c r="AQ55" i="18"/>
  <c r="AS55" i="18"/>
  <c r="F56" i="18"/>
  <c r="U56" i="18" s="1"/>
  <c r="X56" i="18"/>
  <c r="Y56" i="18"/>
  <c r="Z56" i="18"/>
  <c r="AQ56" i="18"/>
  <c r="AS56" i="18"/>
  <c r="F57" i="18"/>
  <c r="N57" i="18" s="1"/>
  <c r="O57" i="18"/>
  <c r="AS57" i="18"/>
  <c r="F58" i="18"/>
  <c r="U58" i="18" s="1"/>
  <c r="X58" i="18"/>
  <c r="Y58" i="18"/>
  <c r="Z58" i="18"/>
  <c r="AQ58" i="18"/>
  <c r="AS58" i="18"/>
  <c r="F59" i="18"/>
  <c r="W59" i="18" s="1"/>
  <c r="X59" i="18"/>
  <c r="Y59" i="18"/>
  <c r="Z59" i="18"/>
  <c r="AQ59" i="18"/>
  <c r="AS59" i="18"/>
  <c r="F60" i="18"/>
  <c r="W60" i="18" s="1"/>
  <c r="X60" i="18"/>
  <c r="Y60" i="18"/>
  <c r="Z60" i="18"/>
  <c r="AQ60" i="18"/>
  <c r="AS60" i="18"/>
  <c r="F61" i="18"/>
  <c r="U61" i="18" s="1"/>
  <c r="X61" i="18"/>
  <c r="Y61" i="18"/>
  <c r="Z61" i="18"/>
  <c r="AS61" i="18"/>
  <c r="F62" i="18"/>
  <c r="N62" i="18" s="1"/>
  <c r="O62" i="18"/>
  <c r="AS62" i="18"/>
  <c r="F63" i="18"/>
  <c r="W63" i="18" s="1"/>
  <c r="X63" i="18"/>
  <c r="Y63" i="18"/>
  <c r="Z63" i="18"/>
  <c r="AS63" i="18"/>
  <c r="F64" i="18"/>
  <c r="U64" i="18" s="1"/>
  <c r="X64" i="18"/>
  <c r="Y64" i="18"/>
  <c r="Z64" i="18"/>
  <c r="AS64" i="18"/>
  <c r="F65" i="18"/>
  <c r="U65" i="18" s="1"/>
  <c r="X65" i="18"/>
  <c r="Y65" i="18"/>
  <c r="Z65" i="18"/>
  <c r="AS65" i="18"/>
  <c r="F66" i="18"/>
  <c r="U66" i="18" s="1"/>
  <c r="X66" i="18"/>
  <c r="Y66" i="18"/>
  <c r="Z66" i="18"/>
  <c r="AS66" i="18"/>
  <c r="F67" i="18"/>
  <c r="W67" i="18" s="1"/>
  <c r="X67" i="18"/>
  <c r="Y67" i="18"/>
  <c r="Z67" i="18"/>
  <c r="AS67" i="18"/>
  <c r="F68" i="18"/>
  <c r="U68" i="18" s="1"/>
  <c r="X68" i="18"/>
  <c r="Y68" i="18"/>
  <c r="Z68" i="18"/>
  <c r="AS68" i="18"/>
  <c r="F69" i="18"/>
  <c r="U69" i="18" s="1"/>
  <c r="AA69" i="18" s="1"/>
  <c r="Q69" i="18" s="1"/>
  <c r="X69" i="18"/>
  <c r="Y69" i="18"/>
  <c r="Z69" i="18"/>
  <c r="AS69" i="18"/>
  <c r="F70" i="18"/>
  <c r="U70" i="18" s="1"/>
  <c r="X70" i="18"/>
  <c r="Y70" i="18"/>
  <c r="Z70" i="18"/>
  <c r="AS70" i="18"/>
  <c r="F71" i="18"/>
  <c r="W71" i="18" s="1"/>
  <c r="AC71" i="18" s="1"/>
  <c r="S71" i="18" s="1"/>
  <c r="X71" i="18"/>
  <c r="Y71" i="18"/>
  <c r="Z71" i="18"/>
  <c r="AS71" i="18"/>
  <c r="F72" i="18"/>
  <c r="U72" i="18" s="1"/>
  <c r="X72" i="18"/>
  <c r="Y72" i="18"/>
  <c r="Z72" i="18"/>
  <c r="AS72" i="18"/>
  <c r="F73" i="18"/>
  <c r="U73" i="18" s="1"/>
  <c r="X73" i="18"/>
  <c r="Y73" i="18"/>
  <c r="Z73" i="18"/>
  <c r="AS73" i="18"/>
  <c r="F74" i="18"/>
  <c r="U74" i="18" s="1"/>
  <c r="X74" i="18"/>
  <c r="Y74" i="18"/>
  <c r="Z74" i="18"/>
  <c r="AQ74" i="18"/>
  <c r="AS74" i="18"/>
  <c r="F75" i="18"/>
  <c r="W75" i="18" s="1"/>
  <c r="AC75" i="18" s="1"/>
  <c r="S75" i="18" s="1"/>
  <c r="X75" i="18"/>
  <c r="Y75" i="18"/>
  <c r="Z75" i="18"/>
  <c r="AQ75" i="18"/>
  <c r="AS75" i="18"/>
  <c r="F76" i="18"/>
  <c r="U76" i="18" s="1"/>
  <c r="X76" i="18"/>
  <c r="Y76" i="18"/>
  <c r="Z76" i="18"/>
  <c r="AQ76" i="18"/>
  <c r="AS76" i="18"/>
  <c r="F77" i="18"/>
  <c r="U77" i="18" s="1"/>
  <c r="X77" i="18"/>
  <c r="Y77" i="18"/>
  <c r="Z77" i="18"/>
  <c r="AS77" i="18"/>
  <c r="F78" i="18"/>
  <c r="U78" i="18" s="1"/>
  <c r="AA78" i="18" s="1"/>
  <c r="Q78" i="18" s="1"/>
  <c r="X78" i="18"/>
  <c r="Y78" i="18"/>
  <c r="Z78" i="18"/>
  <c r="AS78" i="18"/>
  <c r="AA79" i="18"/>
  <c r="AB79" i="18"/>
  <c r="AC79" i="18"/>
  <c r="D80" i="18"/>
  <c r="D81" i="18" s="1"/>
  <c r="H80" i="18"/>
  <c r="F10" i="1"/>
  <c r="N10" i="1" s="1"/>
  <c r="O10" i="1"/>
  <c r="AS10" i="1"/>
  <c r="F11" i="1"/>
  <c r="N11" i="1" s="1"/>
  <c r="K11" i="1"/>
  <c r="O11" i="1"/>
  <c r="AS11" i="1"/>
  <c r="F12" i="1"/>
  <c r="I12" i="1" s="1"/>
  <c r="K12" i="1"/>
  <c r="O12" i="1"/>
  <c r="AS12" i="1"/>
  <c r="F13" i="1"/>
  <c r="N13" i="1" s="1"/>
  <c r="K13" i="1"/>
  <c r="O13" i="1"/>
  <c r="AS13" i="1"/>
  <c r="F14" i="1"/>
  <c r="N14" i="1" s="1"/>
  <c r="K14" i="1"/>
  <c r="O14" i="1"/>
  <c r="AS14" i="1"/>
  <c r="F15" i="1"/>
  <c r="N15" i="1" s="1"/>
  <c r="K15" i="1"/>
  <c r="O15" i="1"/>
  <c r="AS15" i="1"/>
  <c r="F16" i="1"/>
  <c r="I16" i="1" s="1"/>
  <c r="O16" i="1"/>
  <c r="AS16" i="1"/>
  <c r="K17" i="1"/>
  <c r="O17" i="1"/>
  <c r="P17" i="1" s="1"/>
  <c r="AS17" i="1"/>
  <c r="K18" i="1"/>
  <c r="O18" i="1"/>
  <c r="AS18" i="1"/>
  <c r="F19" i="1"/>
  <c r="N19" i="1" s="1"/>
  <c r="O19" i="1"/>
  <c r="AS19" i="1"/>
  <c r="F20" i="1"/>
  <c r="N20" i="1" s="1"/>
  <c r="O20" i="1"/>
  <c r="AS20" i="1"/>
  <c r="F21" i="1"/>
  <c r="N21" i="1" s="1"/>
  <c r="O21" i="1"/>
  <c r="AS21" i="1"/>
  <c r="F22" i="1"/>
  <c r="I22" i="1" s="1"/>
  <c r="O22" i="1"/>
  <c r="AS22" i="1"/>
  <c r="F23" i="1"/>
  <c r="I23" i="1" s="1"/>
  <c r="O23" i="1"/>
  <c r="AQ23" i="1"/>
  <c r="AS23" i="1"/>
  <c r="F24" i="1"/>
  <c r="N24" i="1" s="1"/>
  <c r="O24" i="1"/>
  <c r="AQ24" i="1"/>
  <c r="AS24" i="1"/>
  <c r="F25" i="1"/>
  <c r="N25" i="1" s="1"/>
  <c r="O25" i="1"/>
  <c r="AQ25" i="1"/>
  <c r="AS25" i="1"/>
  <c r="F26" i="1"/>
  <c r="I26" i="1" s="1"/>
  <c r="O26" i="1"/>
  <c r="AQ26" i="1"/>
  <c r="AS26" i="1"/>
  <c r="F27" i="1"/>
  <c r="W27" i="1" s="1"/>
  <c r="AC27" i="1" s="1"/>
  <c r="S27" i="1" s="1"/>
  <c r="P27" i="1"/>
  <c r="X27" i="1"/>
  <c r="Y27" i="1"/>
  <c r="Z27" i="1"/>
  <c r="AS27" i="1"/>
  <c r="F28" i="1"/>
  <c r="U28" i="1" s="1"/>
  <c r="AA28" i="1" s="1"/>
  <c r="Q28" i="1" s="1"/>
  <c r="P28" i="1"/>
  <c r="X28" i="1"/>
  <c r="Y28" i="1"/>
  <c r="Z28" i="1"/>
  <c r="AS28" i="1"/>
  <c r="F29" i="1"/>
  <c r="I29" i="1" s="1"/>
  <c r="O29" i="1"/>
  <c r="AS29" i="1"/>
  <c r="F30" i="1"/>
  <c r="N30" i="1" s="1"/>
  <c r="O30" i="1"/>
  <c r="P30" i="1" s="1"/>
  <c r="AS30" i="1"/>
  <c r="F31" i="1"/>
  <c r="I31" i="1" s="1"/>
  <c r="O31" i="1"/>
  <c r="P31" i="1" s="1"/>
  <c r="AS31" i="1"/>
  <c r="F32" i="1"/>
  <c r="N32" i="1" s="1"/>
  <c r="O32" i="1"/>
  <c r="AS32" i="1"/>
  <c r="F33" i="1"/>
  <c r="N33" i="1" s="1"/>
  <c r="O33" i="1"/>
  <c r="P33" i="1" s="1"/>
  <c r="AS33" i="1"/>
  <c r="F34" i="1"/>
  <c r="I34" i="1" s="1"/>
  <c r="O34" i="1"/>
  <c r="AQ34" i="1"/>
  <c r="AS34" i="1"/>
  <c r="F35" i="1"/>
  <c r="I35" i="1" s="1"/>
  <c r="O35" i="1"/>
  <c r="AS35" i="1"/>
  <c r="F36" i="1"/>
  <c r="N36" i="1" s="1"/>
  <c r="O36" i="1"/>
  <c r="AS36" i="1"/>
  <c r="F37" i="1"/>
  <c r="N37" i="1" s="1"/>
  <c r="O37" i="1"/>
  <c r="AS37" i="1"/>
  <c r="F38" i="1"/>
  <c r="N38" i="1" s="1"/>
  <c r="O38" i="1"/>
  <c r="AS38" i="1"/>
  <c r="F39" i="1"/>
  <c r="N39" i="1" s="1"/>
  <c r="O39" i="1"/>
  <c r="AS39" i="1"/>
  <c r="F40" i="1"/>
  <c r="W40" i="1" s="1"/>
  <c r="O40" i="1"/>
  <c r="AS40" i="1"/>
  <c r="F41" i="1"/>
  <c r="V41" i="1" s="1"/>
  <c r="X41" i="1"/>
  <c r="Y41" i="1"/>
  <c r="Z41" i="1"/>
  <c r="AS41" i="1"/>
  <c r="F42" i="1"/>
  <c r="W42" i="1" s="1"/>
  <c r="AC42" i="1" s="1"/>
  <c r="S42" i="1" s="1"/>
  <c r="X42" i="1"/>
  <c r="Y42" i="1"/>
  <c r="Z42" i="1"/>
  <c r="AS42" i="1"/>
  <c r="F43" i="1"/>
  <c r="U43" i="1" s="1"/>
  <c r="AA43" i="1" s="1"/>
  <c r="Q43" i="1" s="1"/>
  <c r="X43" i="1"/>
  <c r="Y43" i="1"/>
  <c r="Z43" i="1"/>
  <c r="AS43" i="1"/>
  <c r="F44" i="1"/>
  <c r="V44" i="1" s="1"/>
  <c r="X44" i="1"/>
  <c r="Y44" i="1"/>
  <c r="Z44" i="1"/>
  <c r="AS44" i="1"/>
  <c r="F45" i="1"/>
  <c r="U45" i="1" s="1"/>
  <c r="X45" i="1"/>
  <c r="Y45" i="1"/>
  <c r="Z45" i="1"/>
  <c r="AQ45" i="1"/>
  <c r="AS45" i="1"/>
  <c r="F46" i="1"/>
  <c r="U46" i="1" s="1"/>
  <c r="AA46" i="1" s="1"/>
  <c r="Q46" i="1" s="1"/>
  <c r="X46" i="1"/>
  <c r="Y46" i="1"/>
  <c r="Z46" i="1"/>
  <c r="AQ46" i="1"/>
  <c r="AS46" i="1"/>
  <c r="F47" i="1"/>
  <c r="U47" i="1" s="1"/>
  <c r="X47" i="1"/>
  <c r="Y47" i="1"/>
  <c r="Z47" i="1"/>
  <c r="AQ47" i="1"/>
  <c r="AS47" i="1"/>
  <c r="F48" i="1"/>
  <c r="W48" i="1" s="1"/>
  <c r="X48" i="1"/>
  <c r="Y48" i="1"/>
  <c r="Z48" i="1"/>
  <c r="AQ48" i="1"/>
  <c r="AS48" i="1"/>
  <c r="F49" i="1"/>
  <c r="W49" i="1" s="1"/>
  <c r="X49" i="1"/>
  <c r="Y49" i="1"/>
  <c r="Z49" i="1"/>
  <c r="AS49" i="1"/>
  <c r="F50" i="1"/>
  <c r="U50" i="1" s="1"/>
  <c r="AA50" i="1" s="1"/>
  <c r="Q50" i="1" s="1"/>
  <c r="X50" i="1"/>
  <c r="Y50" i="1"/>
  <c r="Z50" i="1"/>
  <c r="AS50" i="1"/>
  <c r="F51" i="1"/>
  <c r="W51" i="1" s="1"/>
  <c r="X51" i="1"/>
  <c r="Y51" i="1"/>
  <c r="Z51" i="1"/>
  <c r="AS51" i="1"/>
  <c r="F52" i="1"/>
  <c r="V52" i="1" s="1"/>
  <c r="X52" i="1"/>
  <c r="Y52" i="1"/>
  <c r="Z52" i="1"/>
  <c r="AS52" i="1"/>
  <c r="F53" i="1"/>
  <c r="V53" i="1" s="1"/>
  <c r="AB53" i="1" s="1"/>
  <c r="R53" i="1" s="1"/>
  <c r="X53" i="1"/>
  <c r="Y53" i="1"/>
  <c r="Z53" i="1"/>
  <c r="AS53" i="1"/>
  <c r="F54" i="1"/>
  <c r="U54" i="1" s="1"/>
  <c r="AA54" i="1" s="1"/>
  <c r="Q54" i="1" s="1"/>
  <c r="X54" i="1"/>
  <c r="Y54" i="1"/>
  <c r="Z54" i="1"/>
  <c r="AQ54" i="1"/>
  <c r="AS54" i="1"/>
  <c r="F55" i="1"/>
  <c r="U55" i="1" s="1"/>
  <c r="X55" i="1"/>
  <c r="Y55" i="1"/>
  <c r="Z55" i="1"/>
  <c r="AQ55" i="1"/>
  <c r="AS55" i="1"/>
  <c r="F56" i="1"/>
  <c r="V56" i="1" s="1"/>
  <c r="X56" i="1"/>
  <c r="Y56" i="1"/>
  <c r="Z56" i="1"/>
  <c r="AQ56" i="1"/>
  <c r="AS56" i="1"/>
  <c r="F57" i="1"/>
  <c r="U57" i="1" s="1"/>
  <c r="O57" i="1"/>
  <c r="AS57" i="1"/>
  <c r="F58" i="1"/>
  <c r="U58" i="1" s="1"/>
  <c r="X58" i="1"/>
  <c r="Y58" i="1"/>
  <c r="Z58" i="1"/>
  <c r="AQ58" i="1"/>
  <c r="AS58" i="1"/>
  <c r="F59" i="1"/>
  <c r="U59" i="1" s="1"/>
  <c r="AA59" i="1" s="1"/>
  <c r="Q59" i="1" s="1"/>
  <c r="X59" i="1"/>
  <c r="Y59" i="1"/>
  <c r="Z59" i="1"/>
  <c r="AQ59" i="1"/>
  <c r="AS59" i="1"/>
  <c r="F60" i="1"/>
  <c r="V60" i="1" s="1"/>
  <c r="X60" i="1"/>
  <c r="Y60" i="1"/>
  <c r="Z60" i="1"/>
  <c r="AQ60" i="1"/>
  <c r="AS60" i="1"/>
  <c r="F61" i="1"/>
  <c r="U61" i="1" s="1"/>
  <c r="AA61" i="1" s="1"/>
  <c r="Q61" i="1" s="1"/>
  <c r="X61" i="1"/>
  <c r="Y61" i="1"/>
  <c r="Z61" i="1"/>
  <c r="AS61" i="1"/>
  <c r="F62" i="1"/>
  <c r="I62" i="1" s="1"/>
  <c r="Z62" i="1" s="1"/>
  <c r="U62" i="1"/>
  <c r="O62" i="1"/>
  <c r="AS62" i="1"/>
  <c r="F63" i="1"/>
  <c r="U63" i="1" s="1"/>
  <c r="X63" i="1"/>
  <c r="Y63" i="1"/>
  <c r="Z63" i="1"/>
  <c r="AS63" i="1"/>
  <c r="F64" i="1"/>
  <c r="W64" i="1" s="1"/>
  <c r="AC64" i="1" s="1"/>
  <c r="S64" i="1" s="1"/>
  <c r="X64" i="1"/>
  <c r="Y64" i="1"/>
  <c r="Z64" i="1"/>
  <c r="AS64" i="1"/>
  <c r="F65" i="1"/>
  <c r="U65" i="1" s="1"/>
  <c r="AA65" i="1" s="1"/>
  <c r="Q65" i="1" s="1"/>
  <c r="X65" i="1"/>
  <c r="Y65" i="1"/>
  <c r="Z65" i="1"/>
  <c r="AS65" i="1"/>
  <c r="F66" i="1"/>
  <c r="U66" i="1" s="1"/>
  <c r="AA66" i="1" s="1"/>
  <c r="Q66" i="1" s="1"/>
  <c r="X66" i="1"/>
  <c r="Y66" i="1"/>
  <c r="Z66" i="1"/>
  <c r="AS66" i="1"/>
  <c r="F67" i="1"/>
  <c r="U67" i="1" s="1"/>
  <c r="X67" i="1"/>
  <c r="Y67" i="1"/>
  <c r="Z67" i="1"/>
  <c r="AS67" i="1"/>
  <c r="F68" i="1"/>
  <c r="U68" i="1" s="1"/>
  <c r="AA68" i="1" s="1"/>
  <c r="Q68" i="1" s="1"/>
  <c r="X68" i="1"/>
  <c r="Y68" i="1"/>
  <c r="Z68" i="1"/>
  <c r="AS68" i="1"/>
  <c r="F69" i="1"/>
  <c r="U69" i="1" s="1"/>
  <c r="X69" i="1"/>
  <c r="Y69" i="1"/>
  <c r="Z69" i="1"/>
  <c r="AS69" i="1"/>
  <c r="F70" i="1"/>
  <c r="W70" i="1" s="1"/>
  <c r="AC70" i="1" s="1"/>
  <c r="S70" i="1" s="1"/>
  <c r="X70" i="1"/>
  <c r="Y70" i="1"/>
  <c r="Z70" i="1"/>
  <c r="AS70" i="1"/>
  <c r="F71" i="1"/>
  <c r="U71" i="1" s="1"/>
  <c r="AA71" i="1" s="1"/>
  <c r="Q71" i="1" s="1"/>
  <c r="X71" i="1"/>
  <c r="Y71" i="1"/>
  <c r="Z71" i="1"/>
  <c r="AS71" i="1"/>
  <c r="F72" i="1"/>
  <c r="U72" i="1" s="1"/>
  <c r="X72" i="1"/>
  <c r="Y72" i="1"/>
  <c r="Z72" i="1"/>
  <c r="AS72" i="1"/>
  <c r="F73" i="1"/>
  <c r="U73" i="1" s="1"/>
  <c r="X73" i="1"/>
  <c r="Y73" i="1"/>
  <c r="Z73" i="1"/>
  <c r="AS73" i="1"/>
  <c r="F74" i="1"/>
  <c r="U74" i="1" s="1"/>
  <c r="X74" i="1"/>
  <c r="Y74" i="1"/>
  <c r="Z74" i="1"/>
  <c r="AQ74" i="1"/>
  <c r="AS74" i="1"/>
  <c r="F75" i="1"/>
  <c r="U75" i="1" s="1"/>
  <c r="X75" i="1"/>
  <c r="Y75" i="1"/>
  <c r="Z75" i="1"/>
  <c r="AQ75" i="1"/>
  <c r="AS75" i="1"/>
  <c r="F76" i="1"/>
  <c r="V76" i="1" s="1"/>
  <c r="AB76" i="1" s="1"/>
  <c r="R76" i="1" s="1"/>
  <c r="X76" i="1"/>
  <c r="Y76" i="1"/>
  <c r="Z76" i="1"/>
  <c r="AQ76" i="1"/>
  <c r="AS76" i="1"/>
  <c r="F77" i="1"/>
  <c r="U77" i="1" s="1"/>
  <c r="AA77" i="1" s="1"/>
  <c r="Q77" i="1" s="1"/>
  <c r="X77" i="1"/>
  <c r="Y77" i="1"/>
  <c r="Z77" i="1"/>
  <c r="AS77" i="1"/>
  <c r="F78" i="1"/>
  <c r="V78" i="1" s="1"/>
  <c r="X78" i="1"/>
  <c r="Y78" i="1"/>
  <c r="Z78" i="1"/>
  <c r="AS78" i="1"/>
  <c r="AA79" i="1"/>
  <c r="AB79" i="1"/>
  <c r="AC79" i="1"/>
  <c r="D80" i="1"/>
  <c r="D81" i="1" s="1"/>
  <c r="H80" i="1"/>
  <c r="I29" i="18"/>
  <c r="Z29" i="18" s="1"/>
  <c r="N15" i="18"/>
  <c r="I18" i="18"/>
  <c r="Y18" i="18" s="1"/>
  <c r="U44" i="18"/>
  <c r="AA44" i="18" s="1"/>
  <c r="Q44" i="18" s="1"/>
  <c r="N33" i="18"/>
  <c r="N26" i="18"/>
  <c r="U59" i="18"/>
  <c r="W44" i="18"/>
  <c r="V54" i="18"/>
  <c r="AB54" i="18" s="1"/>
  <c r="R54" i="18" s="1"/>
  <c r="W61" i="18"/>
  <c r="AC61" i="18" s="1"/>
  <c r="S61" i="18" s="1"/>
  <c r="V61" i="18"/>
  <c r="AB61" i="18" s="1"/>
  <c r="R61" i="18" s="1"/>
  <c r="W72" i="18"/>
  <c r="AC72" i="18" s="1"/>
  <c r="S72" i="18" s="1"/>
  <c r="W41" i="18"/>
  <c r="AC41" i="18" s="1"/>
  <c r="S41" i="18" s="1"/>
  <c r="I25" i="18"/>
  <c r="N62" i="1"/>
  <c r="N29" i="1"/>
  <c r="N57" i="1"/>
  <c r="Z18" i="18"/>
  <c r="H29" i="20"/>
  <c r="N16" i="1"/>
  <c r="N26" i="1"/>
  <c r="N23" i="1"/>
  <c r="M4" i="20"/>
  <c r="W55" i="1"/>
  <c r="AC55" i="1" s="1"/>
  <c r="S55" i="1" s="1"/>
  <c r="V55" i="1"/>
  <c r="AB55" i="1" s="1"/>
  <c r="R55" i="1" s="1"/>
  <c r="I20" i="1"/>
  <c r="Z20" i="1" s="1"/>
  <c r="W74" i="1"/>
  <c r="W62" i="1"/>
  <c r="W57" i="1"/>
  <c r="V77" i="1"/>
  <c r="AB77" i="1" s="1"/>
  <c r="R77" i="1" s="1"/>
  <c r="X18" i="18"/>
  <c r="AA18" i="18" s="1"/>
  <c r="Q18" i="18" s="1"/>
  <c r="P21" i="1" l="1"/>
  <c r="P18" i="1"/>
  <c r="I24" i="1"/>
  <c r="X24" i="1" s="1"/>
  <c r="I33" i="1"/>
  <c r="Z33" i="1" s="1"/>
  <c r="P19" i="1"/>
  <c r="P11" i="1"/>
  <c r="V45" i="1"/>
  <c r="AB45" i="1" s="1"/>
  <c r="R45" i="1" s="1"/>
  <c r="V69" i="1"/>
  <c r="AB69" i="1" s="1"/>
  <c r="R69" i="1" s="1"/>
  <c r="U27" i="1"/>
  <c r="AA27" i="1" s="1"/>
  <c r="Q27" i="1" s="1"/>
  <c r="V26" i="1"/>
  <c r="W45" i="1"/>
  <c r="AC45" i="1" s="1"/>
  <c r="S45" i="1" s="1"/>
  <c r="U26" i="1"/>
  <c r="V14" i="1"/>
  <c r="V57" i="1"/>
  <c r="U38" i="1"/>
  <c r="P39" i="18"/>
  <c r="P35" i="18"/>
  <c r="I10" i="1"/>
  <c r="Y10" i="1" s="1"/>
  <c r="U10" i="18"/>
  <c r="V10" i="18"/>
  <c r="W10" i="18"/>
  <c r="I10" i="18"/>
  <c r="X10" i="18" s="1"/>
  <c r="U35" i="1"/>
  <c r="V62" i="1"/>
  <c r="I17" i="1"/>
  <c r="Y17" i="1" s="1"/>
  <c r="W58" i="1"/>
  <c r="AC58" i="1" s="1"/>
  <c r="S58" i="1" s="1"/>
  <c r="U41" i="1"/>
  <c r="AA41" i="1" s="1"/>
  <c r="Q41" i="1" s="1"/>
  <c r="U30" i="1"/>
  <c r="U15" i="1"/>
  <c r="U23" i="1"/>
  <c r="V22" i="1"/>
  <c r="W41" i="1"/>
  <c r="AC41" i="1" s="1"/>
  <c r="S41" i="1" s="1"/>
  <c r="AW41" i="1" s="1"/>
  <c r="U39" i="1"/>
  <c r="V38" i="1"/>
  <c r="V21" i="1"/>
  <c r="U19" i="1"/>
  <c r="V37" i="1"/>
  <c r="V18" i="1"/>
  <c r="U18" i="1"/>
  <c r="V30" i="1"/>
  <c r="V17" i="1"/>
  <c r="U34" i="1"/>
  <c r="V39" i="1"/>
  <c r="V35" i="1"/>
  <c r="V31" i="1"/>
  <c r="V27" i="1"/>
  <c r="V23" i="1"/>
  <c r="V19" i="1"/>
  <c r="V15" i="1"/>
  <c r="V11" i="1"/>
  <c r="U31" i="1"/>
  <c r="U11" i="1"/>
  <c r="W38" i="1"/>
  <c r="W34" i="1"/>
  <c r="W30" i="1"/>
  <c r="W26" i="1"/>
  <c r="W22" i="1"/>
  <c r="W18" i="1"/>
  <c r="W14" i="1"/>
  <c r="U14" i="1"/>
  <c r="V75" i="1"/>
  <c r="AB75" i="1" s="1"/>
  <c r="R75" i="1" s="1"/>
  <c r="W37" i="1"/>
  <c r="W33" i="1"/>
  <c r="W29" i="1"/>
  <c r="W25" i="1"/>
  <c r="W21" i="1"/>
  <c r="W17" i="1"/>
  <c r="W13" i="1"/>
  <c r="V33" i="1"/>
  <c r="V29" i="1"/>
  <c r="V25" i="1"/>
  <c r="V13" i="1"/>
  <c r="U37" i="1"/>
  <c r="U33" i="1"/>
  <c r="U29" i="1"/>
  <c r="U25" i="1"/>
  <c r="U21" i="1"/>
  <c r="U17" i="1"/>
  <c r="U13" i="1"/>
  <c r="V34" i="1"/>
  <c r="U10" i="1"/>
  <c r="W36" i="1"/>
  <c r="W32" i="1"/>
  <c r="W28" i="1"/>
  <c r="AC28" i="1" s="1"/>
  <c r="S28" i="1" s="1"/>
  <c r="W24" i="1"/>
  <c r="W20" i="1"/>
  <c r="AC20" i="1" s="1"/>
  <c r="S20" i="1" s="1"/>
  <c r="W16" i="1"/>
  <c r="W12" i="1"/>
  <c r="W77" i="1"/>
  <c r="AC77" i="1" s="1"/>
  <c r="S77" i="1" s="1"/>
  <c r="V10" i="1"/>
  <c r="V36" i="1"/>
  <c r="V32" i="1"/>
  <c r="V28" i="1"/>
  <c r="AB28" i="1" s="1"/>
  <c r="R28" i="1" s="1"/>
  <c r="V24" i="1"/>
  <c r="V20" i="1"/>
  <c r="V16" i="1"/>
  <c r="V12" i="1"/>
  <c r="W10" i="1"/>
  <c r="U36" i="1"/>
  <c r="U32" i="1"/>
  <c r="U24" i="1"/>
  <c r="U20" i="1"/>
  <c r="U16" i="1"/>
  <c r="U12" i="1"/>
  <c r="W39" i="1"/>
  <c r="W35" i="1"/>
  <c r="W31" i="1"/>
  <c r="W23" i="1"/>
  <c r="W19" i="1"/>
  <c r="W15" i="1"/>
  <c r="W11" i="1"/>
  <c r="W27" i="18"/>
  <c r="AC27" i="18" s="1"/>
  <c r="S27" i="18" s="1"/>
  <c r="AW27" i="1" s="1"/>
  <c r="V27" i="18"/>
  <c r="AB27" i="18" s="1"/>
  <c r="R27" i="18" s="1"/>
  <c r="L71" i="6"/>
  <c r="L83" i="6" s="1"/>
  <c r="C20" i="16" s="1"/>
  <c r="D20" i="16" s="1"/>
  <c r="P21" i="18"/>
  <c r="AA35" i="18"/>
  <c r="Q35" i="18" s="1"/>
  <c r="P14" i="1"/>
  <c r="P13" i="1"/>
  <c r="P16" i="1"/>
  <c r="I21" i="1"/>
  <c r="X21" i="1" s="1"/>
  <c r="P32" i="1"/>
  <c r="K20" i="21"/>
  <c r="K15" i="21"/>
  <c r="K31" i="21"/>
  <c r="P26" i="1"/>
  <c r="P23" i="1"/>
  <c r="AC18" i="18"/>
  <c r="S18" i="18" s="1"/>
  <c r="X29" i="18"/>
  <c r="AA29" i="18" s="1"/>
  <c r="Q29" i="18" s="1"/>
  <c r="Y29" i="18"/>
  <c r="AB29" i="18" s="1"/>
  <c r="R29" i="18" s="1"/>
  <c r="AA28" i="18"/>
  <c r="Q28" i="18" s="1"/>
  <c r="Y16" i="1"/>
  <c r="Z16" i="1"/>
  <c r="X16" i="1"/>
  <c r="I37" i="1"/>
  <c r="X37" i="1" s="1"/>
  <c r="I57" i="1"/>
  <c r="Z57" i="1" s="1"/>
  <c r="AC57" i="1" s="1"/>
  <c r="S57" i="1" s="1"/>
  <c r="I18" i="1"/>
  <c r="Y18" i="1" s="1"/>
  <c r="AA27" i="18"/>
  <c r="Q27" i="18" s="1"/>
  <c r="AC29" i="18"/>
  <c r="S29" i="18" s="1"/>
  <c r="I11" i="1"/>
  <c r="I38" i="1"/>
  <c r="Z38" i="1" s="1"/>
  <c r="V74" i="1"/>
  <c r="AB74" i="1" s="1"/>
  <c r="R74" i="1" s="1"/>
  <c r="I32" i="1"/>
  <c r="X32" i="1" s="1"/>
  <c r="P24" i="1"/>
  <c r="I14" i="1"/>
  <c r="Y14" i="1" s="1"/>
  <c r="V64" i="1"/>
  <c r="AB64" i="1" s="1"/>
  <c r="R64" i="1" s="1"/>
  <c r="O81" i="1"/>
  <c r="C45" i="24" s="1"/>
  <c r="J50" i="25" s="1"/>
  <c r="K50" i="25" s="1"/>
  <c r="W73" i="1"/>
  <c r="AC73" i="1" s="1"/>
  <c r="S73" i="1" s="1"/>
  <c r="W69" i="1"/>
  <c r="AC69" i="1" s="1"/>
  <c r="S69" i="1" s="1"/>
  <c r="U64" i="1"/>
  <c r="AA64" i="1" s="1"/>
  <c r="Q64" i="1" s="1"/>
  <c r="K25" i="21"/>
  <c r="B46" i="6" s="1"/>
  <c r="P57" i="1"/>
  <c r="P37" i="1"/>
  <c r="P40" i="1"/>
  <c r="P35" i="1"/>
  <c r="V63" i="18"/>
  <c r="AB63" i="18" s="1"/>
  <c r="R63" i="18" s="1"/>
  <c r="V67" i="18"/>
  <c r="AB67" i="18" s="1"/>
  <c r="R67" i="18" s="1"/>
  <c r="U67" i="18"/>
  <c r="AA67" i="18" s="1"/>
  <c r="Q67" i="18" s="1"/>
  <c r="X26" i="1"/>
  <c r="AA26" i="1" s="1"/>
  <c r="Q26" i="1" s="1"/>
  <c r="Y26" i="1"/>
  <c r="Z26" i="1"/>
  <c r="W63" i="1"/>
  <c r="AC63" i="1" s="1"/>
  <c r="S63" i="1" s="1"/>
  <c r="V66" i="1"/>
  <c r="AB66" i="1" s="1"/>
  <c r="R66" i="1" s="1"/>
  <c r="W66" i="1"/>
  <c r="AC66" i="1" s="1"/>
  <c r="S66" i="1" s="1"/>
  <c r="U76" i="1"/>
  <c r="AA76" i="1" s="1"/>
  <c r="Q76" i="1" s="1"/>
  <c r="U60" i="1"/>
  <c r="AA60" i="1" s="1"/>
  <c r="Q60" i="1" s="1"/>
  <c r="V58" i="1"/>
  <c r="AB58" i="1" s="1"/>
  <c r="R58" i="1" s="1"/>
  <c r="W60" i="1"/>
  <c r="AC60" i="1" s="1"/>
  <c r="S60" i="1" s="1"/>
  <c r="V63" i="1"/>
  <c r="AB63" i="1" s="1"/>
  <c r="R63" i="1" s="1"/>
  <c r="W43" i="1"/>
  <c r="AC43" i="1" s="1"/>
  <c r="S43" i="1" s="1"/>
  <c r="W46" i="1"/>
  <c r="AC46" i="1" s="1"/>
  <c r="S46" i="1" s="1"/>
  <c r="W48" i="18"/>
  <c r="AC48" i="18" s="1"/>
  <c r="S48" i="18" s="1"/>
  <c r="V57" i="18"/>
  <c r="V74" i="18"/>
  <c r="AB74" i="18" s="1"/>
  <c r="R74" i="18" s="1"/>
  <c r="V78" i="18"/>
  <c r="AB78" i="18" s="1"/>
  <c r="R78" i="18" s="1"/>
  <c r="W74" i="18"/>
  <c r="AC74" i="18" s="1"/>
  <c r="S74" i="18" s="1"/>
  <c r="P57" i="18"/>
  <c r="V42" i="18"/>
  <c r="AB42" i="18" s="1"/>
  <c r="R42" i="18" s="1"/>
  <c r="I57" i="18"/>
  <c r="W57" i="18"/>
  <c r="V50" i="18"/>
  <c r="AB50" i="18" s="1"/>
  <c r="R50" i="18" s="1"/>
  <c r="V41" i="18"/>
  <c r="AB41" i="18" s="1"/>
  <c r="R41" i="18" s="1"/>
  <c r="W50" i="18"/>
  <c r="AC50" i="18" s="1"/>
  <c r="S50" i="18" s="1"/>
  <c r="P29" i="18"/>
  <c r="P15" i="18"/>
  <c r="P26" i="18"/>
  <c r="I13" i="18"/>
  <c r="Y13" i="18" s="1"/>
  <c r="AB13" i="18" s="1"/>
  <c r="R13" i="18" s="1"/>
  <c r="P12" i="18"/>
  <c r="I21" i="18"/>
  <c r="X21" i="18" s="1"/>
  <c r="AA21" i="18" s="1"/>
  <c r="Q21" i="18" s="1"/>
  <c r="P30" i="18"/>
  <c r="U52" i="18"/>
  <c r="AA52" i="18" s="1"/>
  <c r="Q52" i="18" s="1"/>
  <c r="P40" i="18"/>
  <c r="AA33" i="18"/>
  <c r="Q33" i="18" s="1"/>
  <c r="AC24" i="18"/>
  <c r="S24" i="18" s="1"/>
  <c r="P10" i="18"/>
  <c r="P23" i="18"/>
  <c r="AA77" i="18"/>
  <c r="Q77" i="18" s="1"/>
  <c r="AU77" i="1" s="1"/>
  <c r="F6" i="18"/>
  <c r="G6" i="18" s="1"/>
  <c r="W43" i="18"/>
  <c r="AC43" i="18" s="1"/>
  <c r="S43" i="18" s="1"/>
  <c r="AA65" i="18"/>
  <c r="Q65" i="18" s="1"/>
  <c r="AU65" i="1" s="1"/>
  <c r="P62" i="18"/>
  <c r="AC60" i="18"/>
  <c r="S60" i="18" s="1"/>
  <c r="AA58" i="18"/>
  <c r="Q58" i="18" s="1"/>
  <c r="P18" i="18"/>
  <c r="W45" i="18"/>
  <c r="AC45" i="18" s="1"/>
  <c r="S45" i="18" s="1"/>
  <c r="AW45" i="1" s="1"/>
  <c r="N31" i="18"/>
  <c r="P38" i="18"/>
  <c r="I15" i="18"/>
  <c r="Z15" i="18" s="1"/>
  <c r="AC15" i="18" s="1"/>
  <c r="S15" i="18" s="1"/>
  <c r="AA74" i="18"/>
  <c r="Q74" i="18" s="1"/>
  <c r="AC44" i="18"/>
  <c r="S44" i="18" s="1"/>
  <c r="P37" i="18"/>
  <c r="V52" i="18"/>
  <c r="AB52" i="18" s="1"/>
  <c r="R52" i="18" s="1"/>
  <c r="V43" i="18"/>
  <c r="AB43" i="18" s="1"/>
  <c r="R43" i="18" s="1"/>
  <c r="V46" i="18"/>
  <c r="AB46" i="18" s="1"/>
  <c r="R46" i="18" s="1"/>
  <c r="Z32" i="18"/>
  <c r="AC32" i="18" s="1"/>
  <c r="S32" i="18" s="1"/>
  <c r="X32" i="18"/>
  <c r="AA32" i="18" s="1"/>
  <c r="Q32" i="18" s="1"/>
  <c r="Y32" i="18"/>
  <c r="AB32" i="18" s="1"/>
  <c r="R32" i="18" s="1"/>
  <c r="W56" i="18"/>
  <c r="AC56" i="18" s="1"/>
  <c r="S56" i="18" s="1"/>
  <c r="N32" i="18"/>
  <c r="AA72" i="18"/>
  <c r="Q72" i="18" s="1"/>
  <c r="W68" i="18"/>
  <c r="AC68" i="18" s="1"/>
  <c r="S68" i="18" s="1"/>
  <c r="AC67" i="18"/>
  <c r="S67" i="18" s="1"/>
  <c r="I80" i="19"/>
  <c r="W69" i="18"/>
  <c r="AC69" i="18" s="1"/>
  <c r="S69" i="18" s="1"/>
  <c r="W54" i="18"/>
  <c r="AC54" i="18" s="1"/>
  <c r="S54" i="18" s="1"/>
  <c r="U47" i="18"/>
  <c r="AA47" i="18" s="1"/>
  <c r="Q47" i="18" s="1"/>
  <c r="N35" i="18"/>
  <c r="I11" i="18"/>
  <c r="X11" i="18" s="1"/>
  <c r="AA11" i="18" s="1"/>
  <c r="Q11" i="18" s="1"/>
  <c r="I14" i="18"/>
  <c r="Y14" i="18" s="1"/>
  <c r="AB14" i="18" s="1"/>
  <c r="R14" i="18" s="1"/>
  <c r="AA64" i="18"/>
  <c r="Q64" i="18" s="1"/>
  <c r="AA48" i="18"/>
  <c r="Q48" i="18" s="1"/>
  <c r="AA46" i="18"/>
  <c r="Q46" i="18" s="1"/>
  <c r="AU46" i="1" s="1"/>
  <c r="V47" i="18"/>
  <c r="AB47" i="18" s="1"/>
  <c r="R47" i="18" s="1"/>
  <c r="P25" i="18"/>
  <c r="V56" i="18"/>
  <c r="AB56" i="18" s="1"/>
  <c r="R56" i="18" s="1"/>
  <c r="V45" i="18"/>
  <c r="AB45" i="18" s="1"/>
  <c r="R45" i="18" s="1"/>
  <c r="AV45" i="1" s="1"/>
  <c r="AA66" i="18"/>
  <c r="Q66" i="18" s="1"/>
  <c r="AU66" i="1" s="1"/>
  <c r="AC63" i="18"/>
  <c r="S63" i="18" s="1"/>
  <c r="V68" i="18"/>
  <c r="AB68" i="18" s="1"/>
  <c r="R68" i="18" s="1"/>
  <c r="AA73" i="18"/>
  <c r="Q73" i="18" s="1"/>
  <c r="AC52" i="18"/>
  <c r="S52" i="18" s="1"/>
  <c r="O81" i="18"/>
  <c r="I17" i="18"/>
  <c r="Z17" i="18" s="1"/>
  <c r="AC17" i="18" s="1"/>
  <c r="S17" i="18" s="1"/>
  <c r="V69" i="18"/>
  <c r="AB69" i="18" s="1"/>
  <c r="R69" i="18" s="1"/>
  <c r="V70" i="18"/>
  <c r="AB70" i="18" s="1"/>
  <c r="R70" i="18" s="1"/>
  <c r="N24" i="18"/>
  <c r="Y23" i="1"/>
  <c r="X23" i="1"/>
  <c r="Z23" i="1"/>
  <c r="V40" i="1"/>
  <c r="V72" i="1"/>
  <c r="AB72" i="1" s="1"/>
  <c r="R72" i="1" s="1"/>
  <c r="V42" i="1"/>
  <c r="AB42" i="1" s="1"/>
  <c r="R42" i="1" s="1"/>
  <c r="V47" i="1"/>
  <c r="AB47" i="1" s="1"/>
  <c r="R47" i="1" s="1"/>
  <c r="I13" i="1"/>
  <c r="Y13" i="1" s="1"/>
  <c r="AB13" i="1" s="1"/>
  <c r="R13" i="1" s="1"/>
  <c r="AB27" i="1"/>
  <c r="R27" i="1" s="1"/>
  <c r="W54" i="1"/>
  <c r="AC54" i="1" s="1"/>
  <c r="S54" i="1" s="1"/>
  <c r="V67" i="1"/>
  <c r="AB67" i="1" s="1"/>
  <c r="R67" i="1" s="1"/>
  <c r="AA58" i="1"/>
  <c r="Q58" i="1" s="1"/>
  <c r="AA45" i="1"/>
  <c r="Q45" i="1" s="1"/>
  <c r="AU45" i="1" s="1"/>
  <c r="AA47" i="1"/>
  <c r="Q47" i="1" s="1"/>
  <c r="P36" i="1"/>
  <c r="V65" i="1"/>
  <c r="AB65" i="1" s="1"/>
  <c r="R65" i="1" s="1"/>
  <c r="V43" i="1"/>
  <c r="AB43" i="1" s="1"/>
  <c r="R43" i="1" s="1"/>
  <c r="N35" i="1"/>
  <c r="P39" i="1"/>
  <c r="AA74" i="1"/>
  <c r="Q74" i="1" s="1"/>
  <c r="V46" i="1"/>
  <c r="AB46" i="1" s="1"/>
  <c r="R46" i="1" s="1"/>
  <c r="AV46" i="1" s="1"/>
  <c r="W76" i="1"/>
  <c r="AC76" i="1" s="1"/>
  <c r="S76" i="1" s="1"/>
  <c r="N12" i="1"/>
  <c r="V54" i="1"/>
  <c r="AB54" i="1" s="1"/>
  <c r="R54" i="1" s="1"/>
  <c r="AV54" i="1" s="1"/>
  <c r="W56" i="1"/>
  <c r="AC56" i="1" s="1"/>
  <c r="S56" i="1" s="1"/>
  <c r="V50" i="1"/>
  <c r="AB50" i="1" s="1"/>
  <c r="R50" i="1" s="1"/>
  <c r="Y33" i="1"/>
  <c r="U56" i="1"/>
  <c r="AA56" i="1" s="1"/>
  <c r="Q56" i="1" s="1"/>
  <c r="AC74" i="1"/>
  <c r="S74" i="1" s="1"/>
  <c r="AC48" i="1"/>
  <c r="S48" i="1" s="1"/>
  <c r="AB44" i="1"/>
  <c r="R44" i="1" s="1"/>
  <c r="P15" i="1"/>
  <c r="W65" i="1"/>
  <c r="AC65" i="1" s="1"/>
  <c r="S65" i="1" s="1"/>
  <c r="N40" i="1"/>
  <c r="P22" i="1"/>
  <c r="I15" i="1"/>
  <c r="Z15" i="1" s="1"/>
  <c r="P12" i="1"/>
  <c r="W67" i="1"/>
  <c r="AC67" i="1" s="1"/>
  <c r="S67" i="1" s="1"/>
  <c r="AB52" i="1"/>
  <c r="R52" i="1" s="1"/>
  <c r="AB41" i="1"/>
  <c r="R41" i="1" s="1"/>
  <c r="X12" i="1"/>
  <c r="Y12" i="1"/>
  <c r="Z12" i="1"/>
  <c r="Z29" i="1"/>
  <c r="X29" i="1"/>
  <c r="Y29" i="1"/>
  <c r="U48" i="1"/>
  <c r="AA48" i="1" s="1"/>
  <c r="Q48" i="1" s="1"/>
  <c r="I40" i="1"/>
  <c r="X40" i="1" s="1"/>
  <c r="I30" i="1"/>
  <c r="P25" i="1"/>
  <c r="U70" i="1"/>
  <c r="AA70" i="1" s="1"/>
  <c r="Q70" i="1" s="1"/>
  <c r="U44" i="1"/>
  <c r="AA44" i="1" s="1"/>
  <c r="Q44" i="1" s="1"/>
  <c r="AU44" i="1" s="1"/>
  <c r="U42" i="1"/>
  <c r="AA42" i="1" s="1"/>
  <c r="Q42" i="1" s="1"/>
  <c r="I36" i="1"/>
  <c r="X36" i="1" s="1"/>
  <c r="P29" i="1"/>
  <c r="AA72" i="1"/>
  <c r="Q72" i="1" s="1"/>
  <c r="AA63" i="1"/>
  <c r="Q63" i="1" s="1"/>
  <c r="V70" i="1"/>
  <c r="AB70" i="1" s="1"/>
  <c r="R70" i="1" s="1"/>
  <c r="U52" i="1"/>
  <c r="AA52" i="1" s="1"/>
  <c r="Q52" i="1" s="1"/>
  <c r="AB78" i="1"/>
  <c r="R78" i="1" s="1"/>
  <c r="AB56" i="1"/>
  <c r="R56" i="1" s="1"/>
  <c r="AQ80" i="1"/>
  <c r="AQ81" i="1" s="1"/>
  <c r="V48" i="1"/>
  <c r="AB48" i="1" s="1"/>
  <c r="R48" i="1" s="1"/>
  <c r="W52" i="1"/>
  <c r="AC52" i="1" s="1"/>
  <c r="S52" i="1" s="1"/>
  <c r="AA67" i="1"/>
  <c r="Q67" i="1" s="1"/>
  <c r="AC49" i="1"/>
  <c r="S49" i="1" s="1"/>
  <c r="P38" i="1"/>
  <c r="AB60" i="1"/>
  <c r="R60" i="1" s="1"/>
  <c r="U40" i="1"/>
  <c r="AA69" i="1"/>
  <c r="Q69" i="1" s="1"/>
  <c r="AU69" i="1" s="1"/>
  <c r="AC51" i="1"/>
  <c r="S51" i="1" s="1"/>
  <c r="P20" i="1"/>
  <c r="P34" i="1"/>
  <c r="AC62" i="1"/>
  <c r="S62" i="1" s="1"/>
  <c r="W44" i="1"/>
  <c r="AC44" i="1" s="1"/>
  <c r="S44" i="1" s="1"/>
  <c r="AU28" i="1"/>
  <c r="W50" i="1"/>
  <c r="AC50" i="1" s="1"/>
  <c r="S50" i="1" s="1"/>
  <c r="I25" i="1"/>
  <c r="X25" i="1" s="1"/>
  <c r="AA75" i="1"/>
  <c r="Q75" i="1" s="1"/>
  <c r="AA73" i="1"/>
  <c r="Q73" i="1" s="1"/>
  <c r="AA55" i="1"/>
  <c r="Q55" i="1" s="1"/>
  <c r="H75" i="2"/>
  <c r="L42" i="6"/>
  <c r="L80" i="6" s="1"/>
  <c r="G75" i="2"/>
  <c r="C17" i="16" s="1"/>
  <c r="G24" i="16" s="1"/>
  <c r="F75" i="2"/>
  <c r="K76" i="6"/>
  <c r="K84" i="6" s="1"/>
  <c r="E21" i="16" s="1"/>
  <c r="L76" i="6"/>
  <c r="L84" i="6" s="1"/>
  <c r="C21" i="16" s="1"/>
  <c r="D21" i="16" s="1"/>
  <c r="M71" i="6"/>
  <c r="M83" i="6" s="1"/>
  <c r="K71" i="6"/>
  <c r="K83" i="6" s="1"/>
  <c r="E16" i="20" s="1"/>
  <c r="B50" i="6"/>
  <c r="L50" i="6" s="1"/>
  <c r="H27" i="21"/>
  <c r="X16" i="18"/>
  <c r="AA16" i="18" s="1"/>
  <c r="Q16" i="18" s="1"/>
  <c r="Y16" i="18"/>
  <c r="AB16" i="18" s="1"/>
  <c r="R16" i="18" s="1"/>
  <c r="V77" i="18"/>
  <c r="AB77" i="18" s="1"/>
  <c r="R77" i="18" s="1"/>
  <c r="AV77" i="1" s="1"/>
  <c r="N30" i="18"/>
  <c r="V64" i="18"/>
  <c r="AB64" i="18" s="1"/>
  <c r="R64" i="18" s="1"/>
  <c r="U57" i="18"/>
  <c r="W42" i="18"/>
  <c r="AC42" i="18" s="1"/>
  <c r="S42" i="18" s="1"/>
  <c r="AW42" i="1" s="1"/>
  <c r="W70" i="18"/>
  <c r="AC70" i="18" s="1"/>
  <c r="S70" i="18" s="1"/>
  <c r="AW70" i="1" s="1"/>
  <c r="U63" i="18"/>
  <c r="AA63" i="18" s="1"/>
  <c r="Q63" i="18" s="1"/>
  <c r="N38" i="18"/>
  <c r="AA61" i="18"/>
  <c r="Q61" i="18" s="1"/>
  <c r="AU61" i="1" s="1"/>
  <c r="AC59" i="18"/>
  <c r="S59" i="18" s="1"/>
  <c r="AA50" i="18"/>
  <c r="Q50" i="18" s="1"/>
  <c r="AU50" i="1" s="1"/>
  <c r="AA41" i="18"/>
  <c r="Q41" i="18" s="1"/>
  <c r="AU41" i="1" s="1"/>
  <c r="N23" i="18"/>
  <c r="N16" i="18"/>
  <c r="AA68" i="18"/>
  <c r="Q68" i="18" s="1"/>
  <c r="AU68" i="1" s="1"/>
  <c r="AA43" i="18"/>
  <c r="Q43" i="18" s="1"/>
  <c r="AU43" i="1" s="1"/>
  <c r="AC28" i="18"/>
  <c r="S28" i="18" s="1"/>
  <c r="N39" i="18"/>
  <c r="I12" i="18"/>
  <c r="X12" i="18" s="1"/>
  <c r="AA56" i="18"/>
  <c r="Q56" i="18" s="1"/>
  <c r="AA54" i="18"/>
  <c r="Q54" i="18" s="1"/>
  <c r="AU54" i="1" s="1"/>
  <c r="P36" i="18"/>
  <c r="AB28" i="18"/>
  <c r="R28" i="18" s="1"/>
  <c r="I19" i="18"/>
  <c r="AA70" i="18"/>
  <c r="Q70" i="18" s="1"/>
  <c r="AB44" i="18"/>
  <c r="R44" i="18" s="1"/>
  <c r="V72" i="18"/>
  <c r="AB72" i="18" s="1"/>
  <c r="R72" i="18" s="1"/>
  <c r="W65" i="18"/>
  <c r="AC65" i="18" s="1"/>
  <c r="S65" i="18" s="1"/>
  <c r="U71" i="18"/>
  <c r="AA71" i="18" s="1"/>
  <c r="Q71" i="18" s="1"/>
  <c r="AU71" i="1" s="1"/>
  <c r="AC47" i="18"/>
  <c r="S47" i="18" s="1"/>
  <c r="AQ80" i="18"/>
  <c r="AQ81" i="18" s="1"/>
  <c r="V65" i="18"/>
  <c r="AB65" i="18" s="1"/>
  <c r="R65" i="18" s="1"/>
  <c r="W73" i="18"/>
  <c r="AC73" i="18" s="1"/>
  <c r="S73" i="18" s="1"/>
  <c r="V71" i="18"/>
  <c r="AB71" i="18" s="1"/>
  <c r="R71" i="18" s="1"/>
  <c r="I34" i="18"/>
  <c r="Z34" i="18" s="1"/>
  <c r="AC34" i="18" s="1"/>
  <c r="S34" i="18" s="1"/>
  <c r="AA76" i="18"/>
  <c r="Q76" i="18" s="1"/>
  <c r="AB51" i="18"/>
  <c r="R51" i="18" s="1"/>
  <c r="AA42" i="18"/>
  <c r="Q42" i="18" s="1"/>
  <c r="P17" i="18"/>
  <c r="P14" i="18"/>
  <c r="V48" i="18"/>
  <c r="AB48" i="18" s="1"/>
  <c r="R48" i="18" s="1"/>
  <c r="W77" i="18"/>
  <c r="AC77" i="18" s="1"/>
  <c r="S77" i="18" s="1"/>
  <c r="V75" i="18"/>
  <c r="AB75" i="18" s="1"/>
  <c r="R75" i="18" s="1"/>
  <c r="AB53" i="18"/>
  <c r="R53" i="18" s="1"/>
  <c r="AV53" i="1" s="1"/>
  <c r="U75" i="18"/>
  <c r="AA75" i="18" s="1"/>
  <c r="Q75" i="18" s="1"/>
  <c r="W64" i="18"/>
  <c r="AC64" i="18" s="1"/>
  <c r="S64" i="18" s="1"/>
  <c r="AW64" i="1" s="1"/>
  <c r="V73" i="18"/>
  <c r="AB73" i="18" s="1"/>
  <c r="R73" i="18" s="1"/>
  <c r="W46" i="18"/>
  <c r="AC46" i="18" s="1"/>
  <c r="S46" i="18" s="1"/>
  <c r="AA59" i="18"/>
  <c r="Q59" i="18" s="1"/>
  <c r="AU59" i="1" s="1"/>
  <c r="I37" i="18"/>
  <c r="Y37" i="18" s="1"/>
  <c r="AB37" i="18" s="1"/>
  <c r="R37" i="18" s="1"/>
  <c r="P16" i="18"/>
  <c r="P13" i="18"/>
  <c r="V76" i="18"/>
  <c r="AB76" i="18" s="1"/>
  <c r="R76" i="18" s="1"/>
  <c r="AV76" i="1" s="1"/>
  <c r="V59" i="18"/>
  <c r="AB59" i="18" s="1"/>
  <c r="R59" i="18" s="1"/>
  <c r="W76" i="18"/>
  <c r="AC76" i="18" s="1"/>
  <c r="S76" i="18" s="1"/>
  <c r="W40" i="18"/>
  <c r="V40" i="18"/>
  <c r="P10" i="1"/>
  <c r="Z57" i="18"/>
  <c r="P33" i="18"/>
  <c r="P32" i="18"/>
  <c r="P31" i="18"/>
  <c r="P24" i="18"/>
  <c r="P22" i="18"/>
  <c r="Z16" i="18"/>
  <c r="AC16" i="18" s="1"/>
  <c r="S16" i="18" s="1"/>
  <c r="P11" i="18"/>
  <c r="P19" i="18"/>
  <c r="V60" i="18"/>
  <c r="AB60" i="18" s="1"/>
  <c r="R60" i="18" s="1"/>
  <c r="U60" i="18"/>
  <c r="AA60" i="18" s="1"/>
  <c r="Q60" i="18" s="1"/>
  <c r="W58" i="18"/>
  <c r="AC58" i="18" s="1"/>
  <c r="S58" i="18" s="1"/>
  <c r="W78" i="18"/>
  <c r="AC78" i="18" s="1"/>
  <c r="S78" i="18" s="1"/>
  <c r="V58" i="18"/>
  <c r="AB58" i="18" s="1"/>
  <c r="R58" i="18" s="1"/>
  <c r="Y40" i="18"/>
  <c r="X40" i="18"/>
  <c r="Z40" i="18"/>
  <c r="U40" i="18"/>
  <c r="N40" i="18"/>
  <c r="AB18" i="18"/>
  <c r="R18" i="18" s="1"/>
  <c r="V55" i="18"/>
  <c r="AB55" i="18" s="1"/>
  <c r="R55" i="18" s="1"/>
  <c r="AV55" i="1" s="1"/>
  <c r="U55" i="18"/>
  <c r="AA55" i="18" s="1"/>
  <c r="Q55" i="18" s="1"/>
  <c r="W55" i="18"/>
  <c r="AC55" i="18" s="1"/>
  <c r="S55" i="18" s="1"/>
  <c r="AW55" i="1" s="1"/>
  <c r="U53" i="18"/>
  <c r="AA53" i="18" s="1"/>
  <c r="Q53" i="18" s="1"/>
  <c r="W51" i="18"/>
  <c r="AC51" i="18" s="1"/>
  <c r="S51" i="18" s="1"/>
  <c r="X25" i="18"/>
  <c r="AA25" i="18" s="1"/>
  <c r="Q25" i="18" s="1"/>
  <c r="Z25" i="18"/>
  <c r="AC25" i="18" s="1"/>
  <c r="S25" i="18" s="1"/>
  <c r="Z22" i="18"/>
  <c r="AC22" i="18" s="1"/>
  <c r="S22" i="18" s="1"/>
  <c r="Y22" i="18"/>
  <c r="AB22" i="18" s="1"/>
  <c r="R22" i="18" s="1"/>
  <c r="Y39" i="18"/>
  <c r="AB39" i="18" s="1"/>
  <c r="R39" i="18" s="1"/>
  <c r="X39" i="18"/>
  <c r="AA39" i="18" s="1"/>
  <c r="Q39" i="18" s="1"/>
  <c r="Z35" i="18"/>
  <c r="AC35" i="18" s="1"/>
  <c r="S35" i="18" s="1"/>
  <c r="Y35" i="18"/>
  <c r="AB35" i="18" s="1"/>
  <c r="R35" i="18" s="1"/>
  <c r="I36" i="18"/>
  <c r="N36" i="18"/>
  <c r="Z39" i="18"/>
  <c r="AC39" i="18" s="1"/>
  <c r="S39" i="18" s="1"/>
  <c r="W53" i="18"/>
  <c r="AC53" i="18" s="1"/>
  <c r="S53" i="18" s="1"/>
  <c r="Y24" i="18"/>
  <c r="AB24" i="18" s="1"/>
  <c r="R24" i="18" s="1"/>
  <c r="X24" i="18"/>
  <c r="AA24" i="18" s="1"/>
  <c r="Q24" i="18" s="1"/>
  <c r="Y25" i="18"/>
  <c r="AB25" i="18" s="1"/>
  <c r="R25" i="18" s="1"/>
  <c r="W62" i="18"/>
  <c r="Y23" i="18"/>
  <c r="AB23" i="18" s="1"/>
  <c r="R23" i="18" s="1"/>
  <c r="X23" i="18"/>
  <c r="AA23" i="18" s="1"/>
  <c r="Q23" i="18" s="1"/>
  <c r="Z23" i="18"/>
  <c r="AC23" i="18" s="1"/>
  <c r="S23" i="18" s="1"/>
  <c r="U51" i="18"/>
  <c r="AA51" i="18" s="1"/>
  <c r="Q51" i="18" s="1"/>
  <c r="X22" i="18"/>
  <c r="AA22" i="18" s="1"/>
  <c r="Q22" i="18" s="1"/>
  <c r="W49" i="18"/>
  <c r="AC49" i="18" s="1"/>
  <c r="S49" i="18" s="1"/>
  <c r="V49" i="18"/>
  <c r="AB49" i="18" s="1"/>
  <c r="R49" i="18" s="1"/>
  <c r="U62" i="18"/>
  <c r="I62" i="18"/>
  <c r="X38" i="18"/>
  <c r="AA38" i="18" s="1"/>
  <c r="Q38" i="18" s="1"/>
  <c r="Z38" i="18"/>
  <c r="AC38" i="18" s="1"/>
  <c r="S38" i="18" s="1"/>
  <c r="Y31" i="18"/>
  <c r="AB31" i="18" s="1"/>
  <c r="R31" i="18" s="1"/>
  <c r="Z31" i="18"/>
  <c r="AC31" i="18" s="1"/>
  <c r="S31" i="18" s="1"/>
  <c r="Z26" i="18"/>
  <c r="AC26" i="18" s="1"/>
  <c r="S26" i="18" s="1"/>
  <c r="Y26" i="18"/>
  <c r="AB26" i="18" s="1"/>
  <c r="R26" i="18" s="1"/>
  <c r="X26" i="18"/>
  <c r="AA26" i="18" s="1"/>
  <c r="Q26" i="18" s="1"/>
  <c r="I20" i="18"/>
  <c r="N20" i="18"/>
  <c r="Y30" i="18"/>
  <c r="AB30" i="18" s="1"/>
  <c r="R30" i="18" s="1"/>
  <c r="Z30" i="18"/>
  <c r="AC30" i="18" s="1"/>
  <c r="S30" i="18" s="1"/>
  <c r="V66" i="18"/>
  <c r="AB66" i="18" s="1"/>
  <c r="R66" i="18" s="1"/>
  <c r="W66" i="18"/>
  <c r="AC66" i="18" s="1"/>
  <c r="S66" i="18" s="1"/>
  <c r="D8" i="19"/>
  <c r="I81" i="19" s="1"/>
  <c r="V62" i="18"/>
  <c r="X31" i="18"/>
  <c r="AA31" i="18" s="1"/>
  <c r="Q31" i="18" s="1"/>
  <c r="Y33" i="18"/>
  <c r="AB33" i="18" s="1"/>
  <c r="R33" i="18" s="1"/>
  <c r="Z33" i="18"/>
  <c r="AC33" i="18" s="1"/>
  <c r="S33" i="18" s="1"/>
  <c r="N22" i="18"/>
  <c r="O80" i="18"/>
  <c r="D80" i="19"/>
  <c r="P62" i="1"/>
  <c r="Y62" i="1"/>
  <c r="AB62" i="1" s="1"/>
  <c r="R62" i="1" s="1"/>
  <c r="V71" i="1"/>
  <c r="AB71" i="1" s="1"/>
  <c r="R71" i="1" s="1"/>
  <c r="W68" i="1"/>
  <c r="AC68" i="1" s="1"/>
  <c r="S68" i="1" s="1"/>
  <c r="U78" i="1"/>
  <c r="AA78" i="1" s="1"/>
  <c r="Q78" i="1" s="1"/>
  <c r="AU78" i="1" s="1"/>
  <c r="V68" i="1"/>
  <c r="AB68" i="1" s="1"/>
  <c r="R68" i="1" s="1"/>
  <c r="V51" i="1"/>
  <c r="AB51" i="1" s="1"/>
  <c r="R51" i="1" s="1"/>
  <c r="W72" i="1"/>
  <c r="AC72" i="1" s="1"/>
  <c r="S72" i="1" s="1"/>
  <c r="AW72" i="1" s="1"/>
  <c r="V73" i="1"/>
  <c r="AB73" i="1" s="1"/>
  <c r="R73" i="1" s="1"/>
  <c r="W71" i="1"/>
  <c r="AC71" i="1" s="1"/>
  <c r="S71" i="1" s="1"/>
  <c r="AW71" i="1" s="1"/>
  <c r="W78" i="1"/>
  <c r="AC78" i="1" s="1"/>
  <c r="S78" i="1" s="1"/>
  <c r="V59" i="1"/>
  <c r="AB59" i="1" s="1"/>
  <c r="R59" i="1" s="1"/>
  <c r="W47" i="1"/>
  <c r="AC47" i="1" s="1"/>
  <c r="S47" i="1" s="1"/>
  <c r="W75" i="1"/>
  <c r="AC75" i="1" s="1"/>
  <c r="S75" i="1" s="1"/>
  <c r="AW75" i="1" s="1"/>
  <c r="X62" i="1"/>
  <c r="AA62" i="1" s="1"/>
  <c r="Q62" i="1" s="1"/>
  <c r="W59" i="1"/>
  <c r="AC59" i="1" s="1"/>
  <c r="S59" i="1" s="1"/>
  <c r="Y34" i="1"/>
  <c r="X34" i="1"/>
  <c r="Z34" i="1"/>
  <c r="X35" i="1"/>
  <c r="AA35" i="1" s="1"/>
  <c r="Q35" i="1" s="1"/>
  <c r="AU35" i="1" s="1"/>
  <c r="Z35" i="1"/>
  <c r="Y35" i="1"/>
  <c r="Z22" i="1"/>
  <c r="X22" i="1"/>
  <c r="AA22" i="1" s="1"/>
  <c r="Q22" i="1" s="1"/>
  <c r="Y22" i="1"/>
  <c r="AB22" i="1" s="1"/>
  <c r="R22" i="1" s="1"/>
  <c r="Z31" i="1"/>
  <c r="AC31" i="1" s="1"/>
  <c r="S31" i="1" s="1"/>
  <c r="X31" i="1"/>
  <c r="Y31" i="1"/>
  <c r="X20" i="1"/>
  <c r="V61" i="1"/>
  <c r="AB61" i="1" s="1"/>
  <c r="R61" i="1" s="1"/>
  <c r="AV61" i="1" s="1"/>
  <c r="I39" i="1"/>
  <c r="U53" i="1"/>
  <c r="AA53" i="1" s="1"/>
  <c r="Q53" i="1" s="1"/>
  <c r="U51" i="1"/>
  <c r="AA51" i="1" s="1"/>
  <c r="Q51" i="1" s="1"/>
  <c r="U49" i="1"/>
  <c r="N34" i="1"/>
  <c r="N31" i="1"/>
  <c r="N22" i="1"/>
  <c r="I19" i="1"/>
  <c r="W53" i="1"/>
  <c r="AC53" i="1" s="1"/>
  <c r="S53" i="1" s="1"/>
  <c r="V49" i="1"/>
  <c r="AB49" i="1" s="1"/>
  <c r="R49" i="1" s="1"/>
  <c r="Y20" i="1"/>
  <c r="AB20" i="1" s="1"/>
  <c r="R20" i="1" s="1"/>
  <c r="W61" i="1"/>
  <c r="AC61" i="1" s="1"/>
  <c r="S61" i="1" s="1"/>
  <c r="AW61" i="1" s="1"/>
  <c r="O80" i="1"/>
  <c r="F6" i="1"/>
  <c r="G6" i="1" s="1"/>
  <c r="M76" i="6"/>
  <c r="M84" i="6" s="1"/>
  <c r="M65" i="6"/>
  <c r="M82" i="6" s="1"/>
  <c r="K42" i="6"/>
  <c r="K80" i="6" s="1"/>
  <c r="E14" i="20" s="1"/>
  <c r="M42" i="6"/>
  <c r="M80" i="6" s="1"/>
  <c r="E17" i="20"/>
  <c r="H22" i="16"/>
  <c r="P22" i="16"/>
  <c r="I22" i="16" s="1"/>
  <c r="L65" i="6"/>
  <c r="K65" i="6"/>
  <c r="K82" i="6" s="1"/>
  <c r="Z24" i="1" l="1"/>
  <c r="AC24" i="1" s="1"/>
  <c r="S24" i="1" s="1"/>
  <c r="AW24" i="1" s="1"/>
  <c r="Y24" i="1"/>
  <c r="AB24" i="1" s="1"/>
  <c r="R24" i="1" s="1"/>
  <c r="AV24" i="1" s="1"/>
  <c r="AC23" i="1"/>
  <c r="S23" i="1" s="1"/>
  <c r="AW23" i="1" s="1"/>
  <c r="AW28" i="1"/>
  <c r="AA24" i="1"/>
  <c r="Q24" i="1" s="1"/>
  <c r="AU24" i="1" s="1"/>
  <c r="AB17" i="1"/>
  <c r="R17" i="1" s="1"/>
  <c r="AA25" i="1"/>
  <c r="Q25" i="1" s="1"/>
  <c r="AC35" i="1"/>
  <c r="S35" i="1" s="1"/>
  <c r="AB12" i="1"/>
  <c r="R12" i="1" s="1"/>
  <c r="AC38" i="1"/>
  <c r="S38" i="1" s="1"/>
  <c r="X33" i="1"/>
  <c r="AA33" i="1" s="1"/>
  <c r="Q33" i="1" s="1"/>
  <c r="AU33" i="1" s="1"/>
  <c r="AB26" i="1"/>
  <c r="R26" i="1" s="1"/>
  <c r="AV26" i="1" s="1"/>
  <c r="AC33" i="1"/>
  <c r="S33" i="1" s="1"/>
  <c r="AW33" i="1" s="1"/>
  <c r="AW58" i="1"/>
  <c r="AA36" i="1"/>
  <c r="Q36" i="1" s="1"/>
  <c r="AW77" i="1"/>
  <c r="AB14" i="1"/>
  <c r="R14" i="1" s="1"/>
  <c r="AA32" i="1"/>
  <c r="Q32" i="1" s="1"/>
  <c r="AB18" i="1"/>
  <c r="R18" i="1" s="1"/>
  <c r="AV18" i="1" s="1"/>
  <c r="AA20" i="1"/>
  <c r="Q20" i="1" s="1"/>
  <c r="AA21" i="1"/>
  <c r="Q21" i="1" s="1"/>
  <c r="AU21" i="1" s="1"/>
  <c r="AA23" i="1"/>
  <c r="Q23" i="1" s="1"/>
  <c r="AU23" i="1" s="1"/>
  <c r="Z37" i="1"/>
  <c r="AC37" i="1" s="1"/>
  <c r="S37" i="1" s="1"/>
  <c r="AU48" i="1"/>
  <c r="AA10" i="18"/>
  <c r="Q10" i="18" s="1"/>
  <c r="AB10" i="1"/>
  <c r="R10" i="1" s="1"/>
  <c r="Z10" i="1"/>
  <c r="AC10" i="1" s="1"/>
  <c r="S10" i="1" s="1"/>
  <c r="X10" i="1"/>
  <c r="AA10" i="1" s="1"/>
  <c r="Q10" i="1" s="1"/>
  <c r="Y10" i="18"/>
  <c r="AB10" i="18" s="1"/>
  <c r="R10" i="18" s="1"/>
  <c r="Z10" i="18"/>
  <c r="AC10" i="18" s="1"/>
  <c r="S10" i="18" s="1"/>
  <c r="AB31" i="1"/>
  <c r="R31" i="1" s="1"/>
  <c r="AC26" i="1"/>
  <c r="S26" i="1" s="1"/>
  <c r="AW26" i="1" s="1"/>
  <c r="AC12" i="1"/>
  <c r="S12" i="1" s="1"/>
  <c r="AA12" i="1"/>
  <c r="Q12" i="1" s="1"/>
  <c r="AB33" i="1"/>
  <c r="R33" i="1" s="1"/>
  <c r="AB35" i="1"/>
  <c r="R35" i="1" s="1"/>
  <c r="AV35" i="1" s="1"/>
  <c r="AA16" i="1"/>
  <c r="Q16" i="1" s="1"/>
  <c r="AU16" i="1" s="1"/>
  <c r="AC22" i="1"/>
  <c r="S22" i="1" s="1"/>
  <c r="AW22" i="1" s="1"/>
  <c r="AC16" i="1"/>
  <c r="S16" i="1" s="1"/>
  <c r="AW16" i="1" s="1"/>
  <c r="AB16" i="1"/>
  <c r="R16" i="1" s="1"/>
  <c r="AV16" i="1" s="1"/>
  <c r="AC34" i="1"/>
  <c r="S34" i="1" s="1"/>
  <c r="AA34" i="1"/>
  <c r="Q34" i="1" s="1"/>
  <c r="X17" i="1"/>
  <c r="AA17" i="1" s="1"/>
  <c r="Q17" i="1" s="1"/>
  <c r="Z17" i="1"/>
  <c r="AC17" i="1" s="1"/>
  <c r="S17" i="1" s="1"/>
  <c r="AW17" i="1" s="1"/>
  <c r="X18" i="1"/>
  <c r="AA18" i="1" s="1"/>
  <c r="Q18" i="1" s="1"/>
  <c r="AU18" i="1" s="1"/>
  <c r="AB34" i="1"/>
  <c r="R34" i="1" s="1"/>
  <c r="E17" i="16"/>
  <c r="E13" i="20"/>
  <c r="O6" i="20" s="1"/>
  <c r="Y21" i="1"/>
  <c r="AB21" i="1" s="1"/>
  <c r="R21" i="1" s="1"/>
  <c r="AC15" i="1"/>
  <c r="S15" i="1" s="1"/>
  <c r="AW15" i="1" s="1"/>
  <c r="Z40" i="1"/>
  <c r="AC40" i="1" s="1"/>
  <c r="S40" i="1" s="1"/>
  <c r="AA31" i="1"/>
  <c r="Q31" i="1" s="1"/>
  <c r="AB29" i="1"/>
  <c r="R29" i="1" s="1"/>
  <c r="AV29" i="1" s="1"/>
  <c r="AV28" i="1"/>
  <c r="AU56" i="1"/>
  <c r="AA29" i="1"/>
  <c r="Q29" i="1" s="1"/>
  <c r="AU29" i="1" s="1"/>
  <c r="AB23" i="1"/>
  <c r="R23" i="1" s="1"/>
  <c r="AV23" i="1" s="1"/>
  <c r="AC29" i="1"/>
  <c r="S29" i="1" s="1"/>
  <c r="AW29" i="1" s="1"/>
  <c r="AA37" i="1"/>
  <c r="Q37" i="1" s="1"/>
  <c r="AV27" i="1"/>
  <c r="E20" i="16"/>
  <c r="Z12" i="18"/>
  <c r="AC12" i="18" s="1"/>
  <c r="S12" i="18" s="1"/>
  <c r="AU27" i="1"/>
  <c r="Z21" i="1"/>
  <c r="AC21" i="1" s="1"/>
  <c r="S21" i="1" s="1"/>
  <c r="Z18" i="1"/>
  <c r="AC18" i="1" s="1"/>
  <c r="S18" i="1" s="1"/>
  <c r="AW18" i="1" s="1"/>
  <c r="X57" i="1"/>
  <c r="AA57" i="1" s="1"/>
  <c r="Q57" i="1" s="1"/>
  <c r="Y57" i="1"/>
  <c r="AB57" i="1" s="1"/>
  <c r="R57" i="1" s="1"/>
  <c r="AU53" i="1"/>
  <c r="Y15" i="1"/>
  <c r="AB15" i="1" s="1"/>
  <c r="R15" i="1" s="1"/>
  <c r="Y38" i="1"/>
  <c r="AB38" i="1" s="1"/>
  <c r="R38" i="1" s="1"/>
  <c r="AV38" i="1" s="1"/>
  <c r="X38" i="1"/>
  <c r="AA38" i="1" s="1"/>
  <c r="Q38" i="1" s="1"/>
  <c r="AU38" i="1" s="1"/>
  <c r="Q45" i="24"/>
  <c r="R45" i="24" s="1"/>
  <c r="X13" i="18"/>
  <c r="AA13" i="18" s="1"/>
  <c r="Q13" i="18" s="1"/>
  <c r="AU32" i="1"/>
  <c r="Z13" i="18"/>
  <c r="AC13" i="18" s="1"/>
  <c r="S13" i="18" s="1"/>
  <c r="AW50" i="1"/>
  <c r="Y21" i="18"/>
  <c r="AB21" i="18" s="1"/>
  <c r="R21" i="18" s="1"/>
  <c r="AU73" i="1"/>
  <c r="Z21" i="18"/>
  <c r="AC21" i="18" s="1"/>
  <c r="S21" i="18" s="1"/>
  <c r="AW44" i="1"/>
  <c r="AU47" i="1"/>
  <c r="AW56" i="1"/>
  <c r="Z13" i="1"/>
  <c r="AC13" i="1" s="1"/>
  <c r="S13" i="1" s="1"/>
  <c r="X13" i="1"/>
  <c r="AA13" i="1" s="1"/>
  <c r="Q13" i="1" s="1"/>
  <c r="Y37" i="1"/>
  <c r="AB37" i="1" s="1"/>
  <c r="R37" i="1" s="1"/>
  <c r="AV37" i="1" s="1"/>
  <c r="AW38" i="1"/>
  <c r="AW73" i="1"/>
  <c r="AW48" i="1"/>
  <c r="AV68" i="1"/>
  <c r="AV74" i="1"/>
  <c r="AV56" i="1"/>
  <c r="AW52" i="1"/>
  <c r="AW43" i="1"/>
  <c r="AU64" i="1"/>
  <c r="Y11" i="1"/>
  <c r="AB11" i="1" s="1"/>
  <c r="R11" i="1" s="1"/>
  <c r="Z11" i="1"/>
  <c r="AC11" i="1" s="1"/>
  <c r="S11" i="1" s="1"/>
  <c r="X14" i="1"/>
  <c r="AA14" i="1" s="1"/>
  <c r="Q14" i="1" s="1"/>
  <c r="Z14" i="1"/>
  <c r="AC14" i="1" s="1"/>
  <c r="S14" i="1" s="1"/>
  <c r="AW46" i="1"/>
  <c r="AV51" i="1"/>
  <c r="AW59" i="1"/>
  <c r="AV64" i="1"/>
  <c r="X15" i="1"/>
  <c r="AA15" i="1" s="1"/>
  <c r="Q15" i="1" s="1"/>
  <c r="AV14" i="1"/>
  <c r="AW31" i="1"/>
  <c r="X11" i="1"/>
  <c r="AA11" i="1" s="1"/>
  <c r="Q11" i="1" s="1"/>
  <c r="AU11" i="1" s="1"/>
  <c r="AV33" i="1"/>
  <c r="AW66" i="1"/>
  <c r="AV75" i="1"/>
  <c r="Z32" i="1"/>
  <c r="AC32" i="1" s="1"/>
  <c r="S32" i="1" s="1"/>
  <c r="AW32" i="1" s="1"/>
  <c r="Y32" i="1"/>
  <c r="AB32" i="1" s="1"/>
  <c r="R32" i="1" s="1"/>
  <c r="AV32" i="1" s="1"/>
  <c r="C43" i="24"/>
  <c r="AV58" i="1"/>
  <c r="AU74" i="1"/>
  <c r="AV72" i="1"/>
  <c r="AV66" i="1"/>
  <c r="AW65" i="1"/>
  <c r="AV67" i="1"/>
  <c r="AU26" i="1"/>
  <c r="AV63" i="1"/>
  <c r="D17" i="16"/>
  <c r="AW51" i="1"/>
  <c r="AU63" i="1"/>
  <c r="AV41" i="1"/>
  <c r="AU60" i="1"/>
  <c r="AW63" i="1"/>
  <c r="AV60" i="1"/>
  <c r="AV50" i="1"/>
  <c r="Y40" i="1"/>
  <c r="AB40" i="1" s="1"/>
  <c r="R40" i="1" s="1"/>
  <c r="AV44" i="1"/>
  <c r="AU58" i="1"/>
  <c r="AV73" i="1"/>
  <c r="AV42" i="1"/>
  <c r="AW69" i="1"/>
  <c r="AW60" i="1"/>
  <c r="AW74" i="1"/>
  <c r="AW67" i="1"/>
  <c r="AV78" i="1"/>
  <c r="AC57" i="18"/>
  <c r="S57" i="18" s="1"/>
  <c r="AW57" i="1" s="1"/>
  <c r="X57" i="18"/>
  <c r="AA57" i="18" s="1"/>
  <c r="Q57" i="18" s="1"/>
  <c r="Y57" i="18"/>
  <c r="AB57" i="18" s="1"/>
  <c r="R57" i="18" s="1"/>
  <c r="E18" i="20"/>
  <c r="O5" i="20" s="1"/>
  <c r="X14" i="18"/>
  <c r="AA14" i="18" s="1"/>
  <c r="Q14" i="18" s="1"/>
  <c r="Z14" i="18"/>
  <c r="AC14" i="18" s="1"/>
  <c r="S14" i="18" s="1"/>
  <c r="Y12" i="18"/>
  <c r="AB12" i="18" s="1"/>
  <c r="R12" i="18" s="1"/>
  <c r="Y11" i="18"/>
  <c r="AB11" i="18" s="1"/>
  <c r="R11" i="18" s="1"/>
  <c r="Y15" i="18"/>
  <c r="AB15" i="18" s="1"/>
  <c r="R15" i="18" s="1"/>
  <c r="M50" i="6"/>
  <c r="K50" i="6"/>
  <c r="I82" i="19"/>
  <c r="P20" i="16" s="1"/>
  <c r="Z11" i="18"/>
  <c r="AC11" i="18" s="1"/>
  <c r="S11" i="18" s="1"/>
  <c r="X15" i="18"/>
  <c r="AA15" i="18" s="1"/>
  <c r="Q15" i="18" s="1"/>
  <c r="AU52" i="1"/>
  <c r="AV43" i="1"/>
  <c r="E22" i="16"/>
  <c r="AB40" i="18"/>
  <c r="R40" i="18" s="1"/>
  <c r="AU72" i="1"/>
  <c r="X17" i="18"/>
  <c r="AA17" i="18" s="1"/>
  <c r="Q17" i="18" s="1"/>
  <c r="AV69" i="1"/>
  <c r="Y17" i="18"/>
  <c r="AB17" i="18" s="1"/>
  <c r="R17" i="18" s="1"/>
  <c r="AV17" i="1" s="1"/>
  <c r="AW54" i="1"/>
  <c r="AV47" i="1"/>
  <c r="Y36" i="1"/>
  <c r="AB36" i="1" s="1"/>
  <c r="R36" i="1" s="1"/>
  <c r="AU67" i="1"/>
  <c r="AU70" i="1"/>
  <c r="AU31" i="1"/>
  <c r="AV52" i="1"/>
  <c r="AU75" i="1"/>
  <c r="AV71" i="1"/>
  <c r="AU22" i="1"/>
  <c r="AV65" i="1"/>
  <c r="AW35" i="1"/>
  <c r="AW47" i="1"/>
  <c r="Z36" i="1"/>
  <c r="AC36" i="1" s="1"/>
  <c r="S36" i="1" s="1"/>
  <c r="AW78" i="1"/>
  <c r="AW53" i="1"/>
  <c r="AV22" i="1"/>
  <c r="AW76" i="1"/>
  <c r="AU76" i="1"/>
  <c r="AU51" i="1"/>
  <c r="AV13" i="1"/>
  <c r="AW34" i="1"/>
  <c r="AV59" i="1"/>
  <c r="AU55" i="1"/>
  <c r="AW68" i="1"/>
  <c r="AV48" i="1"/>
  <c r="AV70" i="1"/>
  <c r="Z30" i="1"/>
  <c r="AC30" i="1" s="1"/>
  <c r="S30" i="1" s="1"/>
  <c r="AW30" i="1" s="1"/>
  <c r="Y30" i="1"/>
  <c r="AB30" i="1" s="1"/>
  <c r="R30" i="1" s="1"/>
  <c r="AV30" i="1" s="1"/>
  <c r="X30" i="1"/>
  <c r="AA30" i="1" s="1"/>
  <c r="Q30" i="1" s="1"/>
  <c r="AU30" i="1" s="1"/>
  <c r="Y25" i="1"/>
  <c r="AB25" i="1" s="1"/>
  <c r="R25" i="1" s="1"/>
  <c r="AV25" i="1" s="1"/>
  <c r="AU25" i="1"/>
  <c r="Z25" i="1"/>
  <c r="AC25" i="1" s="1"/>
  <c r="S25" i="1" s="1"/>
  <c r="AW25" i="1" s="1"/>
  <c r="AV49" i="1"/>
  <c r="AA40" i="1"/>
  <c r="Q40" i="1" s="1"/>
  <c r="AW49" i="1"/>
  <c r="AV31" i="1"/>
  <c r="AU42" i="1"/>
  <c r="B47" i="6"/>
  <c r="M47" i="6" s="1"/>
  <c r="K12" i="21"/>
  <c r="B44" i="6" s="1"/>
  <c r="M44" i="6" s="1"/>
  <c r="K37" i="21"/>
  <c r="B48" i="6"/>
  <c r="M48" i="6" s="1"/>
  <c r="K3" i="21"/>
  <c r="L46" i="6"/>
  <c r="K46" i="6"/>
  <c r="M46" i="6"/>
  <c r="X37" i="18"/>
  <c r="AA37" i="18" s="1"/>
  <c r="Q37" i="18" s="1"/>
  <c r="Y34" i="18"/>
  <c r="AB34" i="18" s="1"/>
  <c r="R34" i="18" s="1"/>
  <c r="X34" i="18"/>
  <c r="AA34" i="18" s="1"/>
  <c r="Q34" i="18" s="1"/>
  <c r="Z19" i="18"/>
  <c r="AC19" i="18" s="1"/>
  <c r="S19" i="18" s="1"/>
  <c r="X19" i="18"/>
  <c r="AA19" i="18" s="1"/>
  <c r="Q19" i="18" s="1"/>
  <c r="Y19" i="18"/>
  <c r="AB19" i="18" s="1"/>
  <c r="R19" i="18" s="1"/>
  <c r="AC40" i="18"/>
  <c r="S40" i="18" s="1"/>
  <c r="Z37" i="18"/>
  <c r="AC37" i="18" s="1"/>
  <c r="S37" i="18" s="1"/>
  <c r="AA40" i="18"/>
  <c r="Q40" i="18" s="1"/>
  <c r="W80" i="18"/>
  <c r="Y62" i="18"/>
  <c r="AB62" i="18" s="1"/>
  <c r="R62" i="18" s="1"/>
  <c r="AV62" i="1" s="1"/>
  <c r="Z62" i="18"/>
  <c r="AC62" i="18" s="1"/>
  <c r="S62" i="18" s="1"/>
  <c r="AW62" i="1" s="1"/>
  <c r="X62" i="18"/>
  <c r="AA62" i="18" s="1"/>
  <c r="Q62" i="18" s="1"/>
  <c r="AU62" i="1" s="1"/>
  <c r="U80" i="18"/>
  <c r="Y20" i="18"/>
  <c r="X20" i="18"/>
  <c r="AA20" i="18" s="1"/>
  <c r="Q20" i="18" s="1"/>
  <c r="Z20" i="18"/>
  <c r="AC20" i="18" s="1"/>
  <c r="S20" i="18" s="1"/>
  <c r="AW20" i="1" s="1"/>
  <c r="V80" i="18"/>
  <c r="AA12" i="18"/>
  <c r="Q12" i="18" s="1"/>
  <c r="AU12" i="1" s="1"/>
  <c r="Z36" i="18"/>
  <c r="AC36" i="18" s="1"/>
  <c r="S36" i="18" s="1"/>
  <c r="X36" i="18"/>
  <c r="AA36" i="18" s="1"/>
  <c r="Q36" i="18" s="1"/>
  <c r="Y36" i="18"/>
  <c r="AB36" i="18" s="1"/>
  <c r="R36" i="18" s="1"/>
  <c r="AA49" i="1"/>
  <c r="Q49" i="1" s="1"/>
  <c r="AU49" i="1" s="1"/>
  <c r="U80" i="1"/>
  <c r="Q42" i="24"/>
  <c r="R42" i="24" s="1"/>
  <c r="X39" i="1"/>
  <c r="AA39" i="1" s="1"/>
  <c r="Q39" i="1" s="1"/>
  <c r="AU39" i="1" s="1"/>
  <c r="Y39" i="1"/>
  <c r="AB39" i="1" s="1"/>
  <c r="R39" i="1" s="1"/>
  <c r="AV39" i="1" s="1"/>
  <c r="Z39" i="1"/>
  <c r="AC39" i="1" s="1"/>
  <c r="S39" i="1" s="1"/>
  <c r="AW39" i="1" s="1"/>
  <c r="V80" i="1"/>
  <c r="Y19" i="1"/>
  <c r="Z19" i="1"/>
  <c r="AC19" i="1" s="1"/>
  <c r="S19" i="1" s="1"/>
  <c r="X19" i="1"/>
  <c r="AA19" i="1" s="1"/>
  <c r="Q19" i="1" s="1"/>
  <c r="W80" i="1"/>
  <c r="L82" i="6"/>
  <c r="E19" i="16"/>
  <c r="E15" i="20"/>
  <c r="AW37" i="1" l="1"/>
  <c r="AV12" i="1"/>
  <c r="AU36" i="1"/>
  <c r="AU20" i="1"/>
  <c r="AV15" i="1"/>
  <c r="AU17" i="1"/>
  <c r="AV11" i="1"/>
  <c r="AW12" i="1"/>
  <c r="AU37" i="1"/>
  <c r="AW10" i="1"/>
  <c r="AV10" i="1"/>
  <c r="AU10" i="1"/>
  <c r="AW40" i="1"/>
  <c r="AU34" i="1"/>
  <c r="AV34" i="1"/>
  <c r="AV21" i="1"/>
  <c r="AU13" i="1"/>
  <c r="AV57" i="1"/>
  <c r="AU57" i="1"/>
  <c r="AW13" i="1"/>
  <c r="AU15" i="1"/>
  <c r="AW21" i="1"/>
  <c r="AU14" i="1"/>
  <c r="AW14" i="1"/>
  <c r="AV36" i="1"/>
  <c r="B43" i="6"/>
  <c r="L43" i="6" s="1"/>
  <c r="K63" i="21"/>
  <c r="AU19" i="1"/>
  <c r="AW11" i="1"/>
  <c r="Q43" i="24"/>
  <c r="R43" i="24" s="1"/>
  <c r="R56" i="24" s="1"/>
  <c r="R58" i="24" s="1"/>
  <c r="R59" i="24" s="1"/>
  <c r="C5" i="24" s="1"/>
  <c r="J48" i="25"/>
  <c r="K48" i="25" s="1"/>
  <c r="K59" i="25" s="1"/>
  <c r="J63" i="25" s="1"/>
  <c r="J65" i="25" s="1"/>
  <c r="AU40" i="1"/>
  <c r="AW36" i="1"/>
  <c r="AV40" i="1"/>
  <c r="H24" i="20"/>
  <c r="O10" i="20" s="1"/>
  <c r="AW19" i="1"/>
  <c r="L47" i="6"/>
  <c r="K47" i="6"/>
  <c r="L44" i="6"/>
  <c r="K44" i="6"/>
  <c r="B45" i="6"/>
  <c r="K45" i="6" s="1"/>
  <c r="K48" i="6"/>
  <c r="L48" i="6"/>
  <c r="Y80" i="18"/>
  <c r="AB80" i="18" s="1"/>
  <c r="R80" i="18" s="1"/>
  <c r="AB20" i="18"/>
  <c r="R20" i="18" s="1"/>
  <c r="AV20" i="1" s="1"/>
  <c r="E10" i="16"/>
  <c r="H13" i="20"/>
  <c r="Z80" i="18"/>
  <c r="AC80" i="18" s="1"/>
  <c r="S80" i="18" s="1"/>
  <c r="X80" i="18"/>
  <c r="AB19" i="1"/>
  <c r="R19" i="1" s="1"/>
  <c r="AV19" i="1" s="1"/>
  <c r="Y80" i="1"/>
  <c r="D11" i="16" s="1"/>
  <c r="D10" i="16"/>
  <c r="X80" i="1"/>
  <c r="AA80" i="1" s="1"/>
  <c r="Q80" i="1" s="1"/>
  <c r="H1" i="1" s="1"/>
  <c r="Z80" i="1"/>
  <c r="AC80" i="1" s="1"/>
  <c r="S80" i="1" s="1"/>
  <c r="L1" i="1" s="1"/>
  <c r="C19" i="16"/>
  <c r="D19" i="16" s="1"/>
  <c r="E19" i="20"/>
  <c r="O7" i="20"/>
  <c r="O8" i="20" s="1"/>
  <c r="K43" i="6" l="1"/>
  <c r="M43" i="6"/>
  <c r="Q56" i="24"/>
  <c r="Q58" i="24" s="1"/>
  <c r="Q59" i="24" s="1"/>
  <c r="P59" i="24" s="1"/>
  <c r="L45" i="6"/>
  <c r="M45" i="6"/>
  <c r="J1" i="18"/>
  <c r="L1" i="18"/>
  <c r="AW80" i="1"/>
  <c r="E11" i="16"/>
  <c r="E12" i="16" s="1"/>
  <c r="P17" i="16" s="1"/>
  <c r="I17" i="16" s="1"/>
  <c r="H14" i="20"/>
  <c r="H15" i="20" s="1"/>
  <c r="AA80" i="18"/>
  <c r="Q80" i="18" s="1"/>
  <c r="D12" i="16"/>
  <c r="AB80" i="1"/>
  <c r="R80" i="1" s="1"/>
  <c r="J1" i="1" s="1"/>
  <c r="O13" i="16" l="1"/>
  <c r="O14" i="16" s="1"/>
  <c r="H17" i="16" s="1"/>
  <c r="H23" i="20"/>
  <c r="H25" i="20" s="1"/>
  <c r="H30" i="20" s="1"/>
  <c r="H31" i="20" s="1"/>
  <c r="P58" i="24"/>
  <c r="P2" i="24" s="1"/>
  <c r="F5" i="24" s="1"/>
  <c r="G5" i="24" s="1"/>
  <c r="O1" i="18"/>
  <c r="AV80" i="1"/>
  <c r="H1" i="18"/>
  <c r="N1" i="18" s="1"/>
  <c r="AU80" i="1"/>
  <c r="O9" i="20"/>
  <c r="O11" i="20" s="1"/>
  <c r="F7" i="24" l="1"/>
  <c r="G7" i="24" s="1"/>
  <c r="Q2" i="24"/>
  <c r="P4" i="24"/>
  <c r="C4" i="24" s="1"/>
  <c r="F8" i="24" l="1"/>
  <c r="G9" i="24" s="1"/>
  <c r="J66" i="25" s="1"/>
  <c r="K65" i="25" s="1"/>
  <c r="B49" i="6"/>
  <c r="K49" i="6" s="1"/>
  <c r="K51" i="6" s="1"/>
  <c r="B20" i="24" l="1"/>
  <c r="C39" i="24"/>
  <c r="B39" i="24"/>
  <c r="G8" i="24"/>
  <c r="C20" i="24"/>
  <c r="M49" i="6"/>
  <c r="M51" i="6" s="1"/>
  <c r="B51" i="6"/>
  <c r="B81" i="6" s="1"/>
  <c r="B85" i="6" s="1"/>
  <c r="L49" i="6"/>
  <c r="L51" i="6" s="1"/>
  <c r="L77" i="6" s="1"/>
  <c r="K77" i="6"/>
  <c r="K81" i="6"/>
  <c r="B77" i="6" l="1"/>
  <c r="L81" i="6"/>
  <c r="L85" i="6" s="1"/>
  <c r="M81" i="6"/>
  <c r="M85" i="6" s="1"/>
  <c r="M77" i="6"/>
  <c r="E18" i="16"/>
  <c r="E23" i="16" s="1"/>
  <c r="K85" i="6"/>
  <c r="P18" i="16" l="1"/>
  <c r="C18" i="16"/>
  <c r="D18" i="16" s="1"/>
  <c r="D23" i="16" s="1"/>
  <c r="H20" i="16" s="1"/>
  <c r="P19" i="16" l="1"/>
  <c r="P21" i="16" s="1"/>
  <c r="I20" i="16"/>
  <c r="C23" i="16"/>
  <c r="H13" i="16"/>
  <c r="I14" i="16" s="1"/>
  <c r="P23" i="16" l="1"/>
  <c r="I23" i="16" s="1"/>
  <c r="I21" i="16"/>
  <c r="H18" i="16"/>
  <c r="H19" i="16" s="1"/>
  <c r="H21" i="16" s="1"/>
  <c r="H23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<sst xmlns="http://schemas.openxmlformats.org/spreadsheetml/2006/main" count="1436" uniqueCount="683">
  <si>
    <t>dusík (kg N/t)</t>
  </si>
  <si>
    <t>N</t>
  </si>
  <si>
    <t>kg N/ha</t>
  </si>
  <si>
    <t>Hnůj koňský</t>
  </si>
  <si>
    <t>Hnůj ovcí a koz</t>
  </si>
  <si>
    <t>Drůbeží trus - uleželý</t>
  </si>
  <si>
    <t>Drůbeží trus - sušený</t>
  </si>
  <si>
    <t>Drůbeží trus s podestýlkou</t>
  </si>
  <si>
    <t>chrást</t>
  </si>
  <si>
    <t>%</t>
  </si>
  <si>
    <t>SAG</t>
  </si>
  <si>
    <t>DAP Polidap</t>
  </si>
  <si>
    <t>SP 40</t>
  </si>
  <si>
    <t>Patenkali</t>
  </si>
  <si>
    <t>Kainit</t>
  </si>
  <si>
    <t>NPK 13-9-16-4</t>
  </si>
  <si>
    <t>NPK 7-20-28-2-3</t>
  </si>
  <si>
    <t>NP 26-14</t>
  </si>
  <si>
    <t xml:space="preserve">NP 20-20 </t>
  </si>
  <si>
    <t>EUROFERTILTOP 45 NPS</t>
  </si>
  <si>
    <t>DUOFERTIL TOP 43 NPS</t>
  </si>
  <si>
    <t>Ledek vápenatý (LV)</t>
  </si>
  <si>
    <t>Síran amonný (SA)</t>
  </si>
  <si>
    <t>LAS, SULFAN 24-6</t>
  </si>
  <si>
    <t>Dusíkatá hnojiva</t>
  </si>
  <si>
    <t>Fosforečná a NP hnojiva</t>
  </si>
  <si>
    <t>Draselná hnojiva</t>
  </si>
  <si>
    <t>Draselná sůl (DS)</t>
  </si>
  <si>
    <t>Vícesložková hnojiva</t>
  </si>
  <si>
    <t>t</t>
  </si>
  <si>
    <t>Obsah živin v hmotnostních %</t>
  </si>
  <si>
    <r>
      <t>P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  <r>
      <rPr>
        <b/>
        <vertAlign val="subscript"/>
        <sz val="11"/>
        <rFont val="Calibri"/>
        <family val="2"/>
        <charset val="238"/>
      </rPr>
      <t>5</t>
    </r>
  </si>
  <si>
    <r>
      <t>K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</si>
  <si>
    <t>Síran draselný (SD)</t>
  </si>
  <si>
    <t>AMISAN, SAM</t>
  </si>
  <si>
    <t xml:space="preserve">ALZON NEO </t>
  </si>
  <si>
    <t xml:space="preserve">PIAMON </t>
  </si>
  <si>
    <t>DAM 390 (28)</t>
  </si>
  <si>
    <t>DAM 390 (30)</t>
  </si>
  <si>
    <t>NPK 15-15-15</t>
  </si>
  <si>
    <t xml:space="preserve">NPK 16-16-16 </t>
  </si>
  <si>
    <t>NPK 14-10-16-5</t>
  </si>
  <si>
    <t>NPK 12-7-16-4</t>
  </si>
  <si>
    <t>NPK 8-24-24-4</t>
  </si>
  <si>
    <t>NPK 9-12-25-2,6 + stp</t>
  </si>
  <si>
    <t>NPK 9-25-25</t>
  </si>
  <si>
    <t>PK 20-30</t>
  </si>
  <si>
    <t>NPK 12-24-12-2-2</t>
  </si>
  <si>
    <t>Amofos 12-52</t>
  </si>
  <si>
    <t>DASA 26-13</t>
  </si>
  <si>
    <t>DASA 25-12</t>
  </si>
  <si>
    <t>Dusičnan amonný (DA)</t>
  </si>
  <si>
    <t xml:space="preserve">UREA STABIL </t>
  </si>
  <si>
    <t>UREA S</t>
  </si>
  <si>
    <t xml:space="preserve">Močovina (MO) </t>
  </si>
  <si>
    <t>Trojitý superfosfát (TSF)</t>
  </si>
  <si>
    <t xml:space="preserve">Kamex </t>
  </si>
  <si>
    <t>Ledek amonný s dolomit. vápencem (LAD 27)</t>
  </si>
  <si>
    <t xml:space="preserve">Digestát </t>
  </si>
  <si>
    <r>
      <t>fosfor (kg P</t>
    </r>
    <r>
      <rPr>
        <b/>
        <sz val="11"/>
        <color indexed="8"/>
        <rFont val="Calibri"/>
        <family val="2"/>
        <charset val="238"/>
      </rPr>
      <t>/t)</t>
    </r>
  </si>
  <si>
    <t>% suš.</t>
  </si>
  <si>
    <r>
      <t>draslík (kg K</t>
    </r>
    <r>
      <rPr>
        <b/>
        <sz val="11"/>
        <color indexed="8"/>
        <rFont val="Calibri"/>
        <family val="2"/>
        <charset val="238"/>
      </rPr>
      <t>/t)</t>
    </r>
  </si>
  <si>
    <t>Cibule</t>
  </si>
  <si>
    <t xml:space="preserve">Celer </t>
  </si>
  <si>
    <t>Kapusta hlávková</t>
  </si>
  <si>
    <t>Kedluben</t>
  </si>
  <si>
    <t>Květák</t>
  </si>
  <si>
    <t>Mrkev</t>
  </si>
  <si>
    <t>Okurky</t>
  </si>
  <si>
    <t>Rajče</t>
  </si>
  <si>
    <t>Řepa salátová</t>
  </si>
  <si>
    <t>Špenát</t>
  </si>
  <si>
    <t>Zelí</t>
  </si>
  <si>
    <t>Obchodní závod</t>
  </si>
  <si>
    <t>Hospodářský rok</t>
  </si>
  <si>
    <t>Minerální hnojiva</t>
  </si>
  <si>
    <t>Položka</t>
  </si>
  <si>
    <t>Hodnota</t>
  </si>
  <si>
    <t>Jetelotráva</t>
  </si>
  <si>
    <t>Vojtěškotráva</t>
  </si>
  <si>
    <t>Trávy s jetelovinami</t>
  </si>
  <si>
    <t>Ječmen ozimý</t>
  </si>
  <si>
    <t>Oves</t>
  </si>
  <si>
    <t>Tritikále</t>
  </si>
  <si>
    <t>Kukuřice na zrno</t>
  </si>
  <si>
    <t>Sója</t>
  </si>
  <si>
    <t>Mák</t>
  </si>
  <si>
    <t>Lnička setá</t>
  </si>
  <si>
    <t>Žito ozimé a jarní</t>
  </si>
  <si>
    <t>Lupina na zrno</t>
  </si>
  <si>
    <t>Slunečnice na semeno</t>
  </si>
  <si>
    <t>Hořčice na semeno</t>
  </si>
  <si>
    <t xml:space="preserve">Len </t>
  </si>
  <si>
    <t>Obsah sušiny</t>
  </si>
  <si>
    <t xml:space="preserve">Ostatní zelenina </t>
  </si>
  <si>
    <t>Fugát kejdy skotu</t>
  </si>
  <si>
    <t xml:space="preserve">Separát kejdy skotu </t>
  </si>
  <si>
    <t>Fugát kejdy prasat</t>
  </si>
  <si>
    <t>Separát kejdy prasat</t>
  </si>
  <si>
    <t>Fugát digestátu</t>
  </si>
  <si>
    <t xml:space="preserve">Separát digestátu nebo tuhý digestát </t>
  </si>
  <si>
    <t>kg/t</t>
  </si>
  <si>
    <t>ostatní</t>
  </si>
  <si>
    <t>Aplikace a pastva celkem</t>
  </si>
  <si>
    <t>Upravené kaly – celkem</t>
  </si>
  <si>
    <t>Organominerální hnojiva – celkem</t>
  </si>
  <si>
    <t>Organická hnojiva – celkem</t>
  </si>
  <si>
    <t>Statková hnojiva – aplikace celkem</t>
  </si>
  <si>
    <t>Močůvka skotu</t>
  </si>
  <si>
    <t xml:space="preserve">Močůvka prasat </t>
  </si>
  <si>
    <t>organická hnojiva</t>
  </si>
  <si>
    <t>organominerální hnojiva</t>
  </si>
  <si>
    <r>
      <t xml:space="preserve">Statková hnojiva </t>
    </r>
    <r>
      <rPr>
        <sz val="11"/>
        <rFont val="Calibri"/>
        <family val="2"/>
        <charset val="238"/>
      </rPr>
      <t>(vedlejší produkty chovu hospodářských zvířat)</t>
    </r>
  </si>
  <si>
    <t>Hnůj skotu – telata, jalovice, býci</t>
  </si>
  <si>
    <t>Hnůj skotu – krávy dojené</t>
  </si>
  <si>
    <t>Hnůj skotu – směs hnoje od více kategorií skotu</t>
  </si>
  <si>
    <t>Hnůj skotu – skot bez tržní produkce mléka</t>
  </si>
  <si>
    <t>Hnůj prasat – předvýkrm</t>
  </si>
  <si>
    <t>Hnůj prasat – výkrm, prasničky, prasnice</t>
  </si>
  <si>
    <t>Kejda skotu – telata</t>
  </si>
  <si>
    <t>Kejda skotu – jalovice, býci</t>
  </si>
  <si>
    <t>Kejda skotu – krávy dojené</t>
  </si>
  <si>
    <t>Kejda skotu – směs kejdy od více kategorií skotu</t>
  </si>
  <si>
    <t>Kejda prasat – předvýkrm</t>
  </si>
  <si>
    <t>Kejda prasat – výkrm, prasničky</t>
  </si>
  <si>
    <t>Kejda prasat – prasnice</t>
  </si>
  <si>
    <t>Kejda prasat – směs kejdy od více kategorií prasat</t>
  </si>
  <si>
    <t>Drůbeží trus - čerstvý</t>
  </si>
  <si>
    <t>Hnůj králíků</t>
  </si>
  <si>
    <t>Kejda králíků</t>
  </si>
  <si>
    <t>Silážní šťávy ředěné</t>
  </si>
  <si>
    <t>Hnojůvka z hnoje skotu</t>
  </si>
  <si>
    <t>Hnojůvka z hnoje prasat</t>
  </si>
  <si>
    <t>Název</t>
  </si>
  <si>
    <t>sláma</t>
  </si>
  <si>
    <t>nať</t>
  </si>
  <si>
    <t>nať, listy</t>
  </si>
  <si>
    <t>stonky</t>
  </si>
  <si>
    <t>zelená hmota</t>
  </si>
  <si>
    <t>seno</t>
  </si>
  <si>
    <t>zrno</t>
  </si>
  <si>
    <t>hlízy</t>
  </si>
  <si>
    <t>bulvy</t>
  </si>
  <si>
    <t>hlízy, bulvy</t>
  </si>
  <si>
    <t>semeno</t>
  </si>
  <si>
    <t>Kmín a další plodiny na semeno</t>
  </si>
  <si>
    <r>
      <t>Upravené kaly</t>
    </r>
    <r>
      <rPr>
        <sz val="11"/>
        <rFont val="Calibri"/>
        <family val="2"/>
        <charset val="238"/>
      </rPr>
      <t xml:space="preserve"> – uveďte přívod živin, v přepočtu na 100% sušinu</t>
    </r>
  </si>
  <si>
    <t>ha</t>
  </si>
  <si>
    <t xml:space="preserve">Ostatní jednoleté pícniny na zeleno </t>
  </si>
  <si>
    <t>omlatky</t>
  </si>
  <si>
    <t xml:space="preserve"> ... z toho – sklizeň jetelovin na semeno</t>
  </si>
  <si>
    <t xml:space="preserve"> ... z toho – sklizeň trav na semeno</t>
  </si>
  <si>
    <t>Ostatní jednoleté luskoviny na zeleno</t>
  </si>
  <si>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indexed="8"/>
        <rFont val="Calibri"/>
        <family val="2"/>
        <charset val="238"/>
      </rPr>
      <t>Vložený průměrný výnos (t/ha)</t>
    </r>
  </si>
  <si>
    <t>Hlavní produkt</t>
  </si>
  <si>
    <t>Vedlejší produkt</t>
  </si>
  <si>
    <t xml:space="preserve">Obsah živin </t>
  </si>
  <si>
    <t>tuny hnojiv (zboží)</t>
  </si>
  <si>
    <t>Čirok na zeleno</t>
  </si>
  <si>
    <t>Hrách krmný na zeleno</t>
  </si>
  <si>
    <t>Ptačí noha na zeleno</t>
  </si>
  <si>
    <t>Luskovinoobilní směs na zeleno</t>
  </si>
  <si>
    <t>Krmná kapusta na zeleno</t>
  </si>
  <si>
    <t>Řepka na zeleno</t>
  </si>
  <si>
    <t>Hořčice na zeleno</t>
  </si>
  <si>
    <t>zelené zrno</t>
  </si>
  <si>
    <t>Hrách zahradní</t>
  </si>
  <si>
    <t>Fazol zahradní</t>
  </si>
  <si>
    <t>lusky</t>
  </si>
  <si>
    <t>Čirok na zrno</t>
  </si>
  <si>
    <t>Slunečnice na zeleno</t>
  </si>
  <si>
    <t>Vedlejší produkt (VP)</t>
  </si>
  <si>
    <r>
      <rPr>
        <b/>
        <sz val="11"/>
        <color indexed="8"/>
        <rFont val="Calibri"/>
        <family val="2"/>
        <charset val="238"/>
      </rPr>
      <t>Ce</t>
    </r>
    <r>
      <rPr>
        <b/>
        <sz val="11"/>
        <color indexed="8"/>
        <rFont val="Calibri"/>
        <family val="2"/>
        <charset val="238"/>
      </rPr>
      <t>lková sklizeň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charset val="238"/>
      </rPr>
      <t>P</t>
    </r>
    <r>
      <rPr>
        <b/>
        <sz val="11"/>
        <color indexed="8"/>
        <rFont val="Calibri"/>
        <family val="2"/>
        <charset val="238"/>
      </rPr>
      <t>růměrný výnos</t>
    </r>
  </si>
  <si>
    <t>1,0 :</t>
  </si>
  <si>
    <t>K o n t r o l a</t>
  </si>
  <si>
    <t xml:space="preserve">Odvezený z pole </t>
  </si>
  <si>
    <t>kontrola:</t>
  </si>
  <si>
    <t>Jetel</t>
  </si>
  <si>
    <r>
      <t>Vojtěška</t>
    </r>
    <r>
      <rPr>
        <sz val="11"/>
        <color indexed="8"/>
        <rFont val="Calibri"/>
        <family val="2"/>
        <charset val="238"/>
      </rPr>
      <t xml:space="preserve"> </t>
    </r>
  </si>
  <si>
    <t>Celkem</t>
  </si>
  <si>
    <t>kg N, celkem</t>
  </si>
  <si>
    <t>v přepočtu na 35 % suš.</t>
  </si>
  <si>
    <t>sladovnický</t>
  </si>
  <si>
    <t>krmný</t>
  </si>
  <si>
    <t>potravinářská</t>
  </si>
  <si>
    <t>nepotravinářská</t>
  </si>
  <si>
    <t>rané</t>
  </si>
  <si>
    <t xml:space="preserve">Ječmen jarní </t>
  </si>
  <si>
    <t xml:space="preserve">Brambory </t>
  </si>
  <si>
    <t>Energetické plodiny (ostatní)</t>
  </si>
  <si>
    <t>Trávy na orné půdě</t>
  </si>
  <si>
    <t>Ostatní čisté jeteloviny</t>
  </si>
  <si>
    <t>na zelené zrno</t>
  </si>
  <si>
    <t>na lusky</t>
  </si>
  <si>
    <r>
      <t xml:space="preserve">Sklizeň (t) – výpočet podle poměru HP a VP </t>
    </r>
    <r>
      <rPr>
        <sz val="11"/>
        <color indexed="8"/>
        <rFont val="Calibri"/>
        <family val="2"/>
        <charset val="238"/>
      </rPr>
      <t>(legislativa)</t>
    </r>
  </si>
  <si>
    <r>
      <t xml:space="preserve">Poměr 
HP : VP
</t>
    </r>
    <r>
      <rPr>
        <sz val="11"/>
        <color indexed="8"/>
        <rFont val="Calibri"/>
        <family val="2"/>
        <charset val="238"/>
      </rPr>
      <t>(legislativa)</t>
    </r>
  </si>
  <si>
    <r>
      <t xml:space="preserve">Sklizeň (t) – vlastní údaj </t>
    </r>
    <r>
      <rPr>
        <sz val="11"/>
        <color indexed="8"/>
        <rFont val="Calibri"/>
        <family val="2"/>
        <charset val="238"/>
      </rPr>
      <t>(skutečnost)</t>
    </r>
  </si>
  <si>
    <r>
      <t xml:space="preserve">Poměr 
HP : VP
</t>
    </r>
    <r>
      <rPr>
        <sz val="11"/>
        <color indexed="8"/>
        <rFont val="Calibri"/>
        <family val="2"/>
        <charset val="238"/>
      </rPr>
      <t>(skutečnost)</t>
    </r>
  </si>
  <si>
    <r>
      <t xml:space="preserve">Plocha plodin </t>
    </r>
    <r>
      <rPr>
        <sz val="11"/>
        <color theme="1"/>
        <rFont val="Calibri"/>
        <family val="2"/>
        <charset val="238"/>
        <scheme val="minor"/>
      </rPr>
      <t>(včetně překryvů)</t>
    </r>
  </si>
  <si>
    <t>Plocha 
(ha)</t>
  </si>
  <si>
    <r>
      <rPr>
        <sz val="11"/>
        <color theme="1"/>
        <rFont val="Calibri"/>
        <family val="2"/>
        <charset val="238"/>
        <scheme val="minor"/>
      </rPr>
      <t xml:space="preserve">buď </t>
    </r>
    <r>
      <rPr>
        <b/>
        <sz val="11"/>
        <color indexed="8"/>
        <rFont val="Calibri"/>
        <family val="2"/>
        <charset val="238"/>
      </rPr>
      <t>Celková sklizeň 
(t)</t>
    </r>
  </si>
  <si>
    <t xml:space="preserve">    Obchodní závod </t>
  </si>
  <si>
    <t xml:space="preserve">    Zpracoval</t>
  </si>
  <si>
    <t xml:space="preserve">    Sklizňový rok </t>
  </si>
  <si>
    <t>upravené kaly</t>
  </si>
  <si>
    <t>celkem, tuny živin</t>
  </si>
  <si>
    <t xml:space="preserve">Kompost </t>
  </si>
  <si>
    <t>Vypočtený průměrný výnos 
(t/ha)</t>
  </si>
  <si>
    <t>Hlavní produkt (HP), "v čistém"</t>
  </si>
  <si>
    <t>v přepočtu na 17 % suš.</t>
  </si>
  <si>
    <t>2024/2025</t>
  </si>
  <si>
    <t xml:space="preserve">Překryvy, příp. chyby (+) nebo nedoplnění (-) plodin </t>
  </si>
  <si>
    <t>Rok podání žádosti</t>
  </si>
  <si>
    <t>Obhospodařovaná plocha</t>
  </si>
  <si>
    <t>Rok</t>
  </si>
  <si>
    <t>t P</t>
  </si>
  <si>
    <t>Výstupy celkem</t>
  </si>
  <si>
    <t>Koeficient</t>
  </si>
  <si>
    <t xml:space="preserve">   Nezjištěný</t>
  </si>
  <si>
    <t>Vstupy celkem</t>
  </si>
  <si>
    <t>Sklizené hlavní produkty</t>
  </si>
  <si>
    <t>Sklizené vedlejší produkty</t>
  </si>
  <si>
    <t>Obsah přístupného fosforu v půdě</t>
  </si>
  <si>
    <t>Organická hnojiva</t>
  </si>
  <si>
    <t>Organominerální hnojiva</t>
  </si>
  <si>
    <t>Upravené kaly</t>
  </si>
  <si>
    <r>
      <t>Potřeba dodání fosforu (t P)</t>
    </r>
    <r>
      <rPr>
        <i/>
        <sz val="10"/>
        <color indexed="8"/>
        <rFont val="Calibri"/>
        <family val="2"/>
        <charset val="238"/>
      </rPr>
      <t/>
    </r>
  </si>
  <si>
    <t>Výměra orné půdy (ha)</t>
  </si>
  <si>
    <t>Výměra orné půdy</t>
  </si>
  <si>
    <t xml:space="preserve">   Nízký (N)</t>
  </si>
  <si>
    <t xml:space="preserve">   Vyhovující (VH)</t>
  </si>
  <si>
    <t xml:space="preserve">   Dobrý (D)</t>
  </si>
  <si>
    <t xml:space="preserve">   Vysoký (V)</t>
  </si>
  <si>
    <t xml:space="preserve">   Velmi vysoký (VV)</t>
  </si>
  <si>
    <r>
      <t>Tab. č. 2 Výměra orné půdy</t>
    </r>
    <r>
      <rPr>
        <b/>
        <vertAlign val="super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k datu podání žádosti</t>
    </r>
  </si>
  <si>
    <t>Tab. č. 4 Výpočet průměrného koeficientu pro stanovení potřeby dodání fosforu</t>
  </si>
  <si>
    <t>Tab. č. 1 Základní údaje</t>
  </si>
  <si>
    <t>(pro sklizeň hlavních plodin, příp. i meziplodin)</t>
  </si>
  <si>
    <t>Řepa cukrová</t>
  </si>
  <si>
    <t>Řepa krmná</t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</si>
  <si>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</si>
  <si>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>Průměrné hodnoty</t>
    </r>
    <r>
      <rPr>
        <sz val="11"/>
        <color indexed="8"/>
        <rFont val="Calibri"/>
        <family val="2"/>
        <charset val="238"/>
      </rPr>
      <t xml:space="preserve"> 
(vyhl. č. 377/2013 Sb., příloha č. 3)</t>
    </r>
  </si>
  <si>
    <r>
      <t>Prům. hodnoty</t>
    </r>
    <r>
      <rPr>
        <sz val="11"/>
        <rFont val="Calibri"/>
        <family val="2"/>
        <charset val="238"/>
      </rPr>
      <t xml:space="preserve"> (vyhl. č. 377/2013 Sb., příl. č. 3)</t>
    </r>
  </si>
  <si>
    <t xml:space="preserve">Vlastní hodnoty, dle laboratorních analýz </t>
  </si>
  <si>
    <t>statková hnojiva – bez pastvy</t>
  </si>
  <si>
    <t>statková hnojiva – pastva (mimo bilanci N pro NS)</t>
  </si>
  <si>
    <t>celkem, tuny hnojiv</t>
  </si>
  <si>
    <r>
      <t xml:space="preserve">Dodání živin na orné půdě
</t>
    </r>
    <r>
      <rPr>
        <sz val="11"/>
        <color theme="1"/>
        <rFont val="Calibri"/>
        <family val="2"/>
        <charset val="238"/>
        <scheme val="minor"/>
      </rPr>
      <t xml:space="preserve"> (celkem)</t>
    </r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</si>
  <si>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</si>
  <si>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 xml:space="preserve">Kejda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</si>
  <si>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Hnůj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</si>
  <si>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Směs různých tuhých hnojiv </t>
    </r>
    <r>
      <rPr>
        <i/>
        <sz val="11"/>
        <rFont val="Calibri"/>
        <family val="2"/>
        <charset val="238"/>
      </rPr>
      <t>(např. vážený průměr obsahu živin, od sloupce H)</t>
    </r>
  </si>
  <si>
    <r>
      <t xml:space="preserve">Močůvka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</si>
  <si>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Hnojůvka z jiného hnoje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</si>
  <si>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Organická hnojiva </t>
    </r>
    <r>
      <rPr>
        <sz val="11"/>
        <rFont val="Calibri"/>
        <family val="2"/>
        <charset val="238"/>
      </rPr>
      <t>– lze přidat další hnojiva a přívod živin (kg/t), od sloupce H</t>
    </r>
  </si>
  <si>
    <r>
      <t>Výpalky melasové zahuštěné</t>
    </r>
    <r>
      <rPr>
        <i/>
        <sz val="11"/>
        <rFont val="Calibri"/>
        <family val="2"/>
        <charset val="238"/>
      </rPr>
      <t xml:space="preserve"> – příklad (upravte přívod živin, od sloupce H)</t>
    </r>
  </si>
  <si>
    <r>
      <t>Výpalky lihovarnické –</t>
    </r>
    <r>
      <rPr>
        <i/>
        <sz val="11"/>
        <rFont val="Calibri"/>
        <family val="2"/>
        <charset val="238"/>
      </rPr>
      <t xml:space="preserve"> příklad (upravte přívod živin, od sloupce H)</t>
    </r>
  </si>
  <si>
    <r>
      <t xml:space="preserve">Organominerální hnojiva </t>
    </r>
    <r>
      <rPr>
        <sz val="11"/>
        <rFont val="Calibri"/>
        <family val="2"/>
        <charset val="238"/>
      </rPr>
      <t>– uveďte hnojiva a přívod živin (kg/t), od sloupce H</t>
    </r>
  </si>
  <si>
    <r>
      <t xml:space="preserve">Upravený kal – </t>
    </r>
    <r>
      <rPr>
        <i/>
        <sz val="11"/>
        <rFont val="Calibri"/>
        <family val="2"/>
        <charset val="238"/>
      </rPr>
      <t>příklad (upravte přívod živin v kg/t sušiny, od sloupce H)</t>
    </r>
  </si>
  <si>
    <t>jiná dusíkatá hnojiva – uveďte název (níže) a % živin (od sloupce C)</t>
  </si>
  <si>
    <t>jiná P a NP hnojiva – uveďte název (níže) a % živin (od sloupce C)</t>
  </si>
  <si>
    <t>jiná draselná hnojiva – uveďte název (níže) a % živin (od sloupce C)</t>
  </si>
  <si>
    <t>jiná vícesložková hnojiva – uveďte název (níže) a % živin (od sloupce C)</t>
  </si>
  <si>
    <t>celkem</t>
  </si>
  <si>
    <r>
      <t xml:space="preserve">Průměrný přívod živin 
</t>
    </r>
    <r>
      <rPr>
        <sz val="11"/>
        <rFont val="Calibri"/>
        <family val="2"/>
        <charset val="238"/>
      </rPr>
      <t>(kg/t hnojiva nebo kg/t sušiny kalu)</t>
    </r>
  </si>
  <si>
    <t>Nesklízený úhor a další nesklízené plochy (ochranné pásy apod.)</t>
  </si>
  <si>
    <t>v přepočtu na seno (85 % suš.)</t>
  </si>
  <si>
    <t>dusík
(kg N)</t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</si>
  <si>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</si>
  <si>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</si>
  <si>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Plodiny vázající N</t>
  </si>
  <si>
    <t>Neovlivnitelné ztráty</t>
  </si>
  <si>
    <t xml:space="preserve">             Obchodní závod </t>
  </si>
  <si>
    <r>
      <t xml:space="preserve">             Sklizňový</t>
    </r>
    <r>
      <rPr>
        <b/>
        <sz val="11"/>
        <color indexed="8"/>
        <rFont val="Calibri"/>
        <family val="2"/>
        <charset val="238"/>
      </rPr>
      <t xml:space="preserve"> rok</t>
    </r>
  </si>
  <si>
    <r>
      <t xml:space="preserve">Neovlivnitelné ztráty </t>
    </r>
    <r>
      <rPr>
        <sz val="11"/>
        <color theme="1"/>
        <rFont val="Calibri"/>
        <family val="2"/>
        <charset val="238"/>
        <scheme val="minor"/>
      </rPr>
      <t>(mimo příp. ztrát na výnosu)</t>
    </r>
    <r>
      <rPr>
        <b/>
        <sz val="11"/>
        <color indexed="8"/>
        <rFont val="Calibri"/>
        <family val="2"/>
        <charset val="238"/>
      </rPr>
      <t>, ve výši 60 kg/ha zeleniny</t>
    </r>
  </si>
  <si>
    <t>Neovlivnitelné ztráty – hlavní produkt</t>
  </si>
  <si>
    <t>Kontrola (ha)</t>
  </si>
  <si>
    <t>Kontrola (t/ha)</t>
  </si>
  <si>
    <t xml:space="preserve">   Plocha polní zeleniny (ha, bez překryvů) </t>
  </si>
  <si>
    <t>Obsah živin (legislativa)</t>
  </si>
  <si>
    <t>Průměrný výnos 
za předchozích 
5 let (t/ha)</t>
  </si>
  <si>
    <t>Poškozená 
plocha 
(ha)</t>
  </si>
  <si>
    <t>Průměrný výnos na poškozených hektarech (t/ha)</t>
  </si>
  <si>
    <t>Snížení výnosu 
(%)</t>
  </si>
  <si>
    <r>
      <t xml:space="preserve">Snížení odvozu N (t N), 
</t>
    </r>
    <r>
      <rPr>
        <sz val="11"/>
        <color theme="1"/>
        <rFont val="Calibri"/>
        <family val="2"/>
        <charset val="238"/>
        <scheme val="minor"/>
      </rPr>
      <t>započte se pouze při snížení výnosu min. o 30 %</t>
    </r>
  </si>
  <si>
    <t>t/ha</t>
  </si>
  <si>
    <t>zelenina</t>
  </si>
  <si>
    <t>Jahody</t>
  </si>
  <si>
    <t>Výsledek bilance dusíku podle § 7a nařízení vlády č. 262/2012 Sb.</t>
  </si>
  <si>
    <t>Protokol o výpočtu a výsledku bilance dusíku podle § 7a nařízení vlády č. 262/2012 Sb.</t>
  </si>
  <si>
    <t>Tabulka č. 1</t>
  </si>
  <si>
    <t xml:space="preserve">Tabulka č. 2 Výpočet vstupů a výstupů dusíku (v tunách N za obchodní závod) </t>
  </si>
  <si>
    <t>Neovlivnitelné ztráty dusíku</t>
  </si>
  <si>
    <t xml:space="preserve">Vstupy celkového dusíku </t>
  </si>
  <si>
    <t xml:space="preserve">Výstupy dusíku </t>
  </si>
  <si>
    <t>č.</t>
  </si>
  <si>
    <t xml:space="preserve">Položka </t>
  </si>
  <si>
    <t>t N</t>
  </si>
  <si>
    <t>1.</t>
  </si>
  <si>
    <t>2.</t>
  </si>
  <si>
    <t>3.</t>
  </si>
  <si>
    <t>4.</t>
  </si>
  <si>
    <t>5.</t>
  </si>
  <si>
    <t>6.</t>
  </si>
  <si>
    <t>Přívod dusíku symbiotickou fixací N</t>
  </si>
  <si>
    <t xml:space="preserve">Tabulka č. 3 Výpočet celkové bilance dusíku (v tunách N za obchodní závod) </t>
  </si>
  <si>
    <t xml:space="preserve">Rozdíl mezi celkovými vstupy dusíku (A) a celkovými výstupy dusíku (B) z tabulky č. 2 </t>
  </si>
  <si>
    <t>Výsledek celkové bilance dusíku z tabulky č. 3 v přepočtu na kg N</t>
  </si>
  <si>
    <t xml:space="preserve">    Hosp. rok hnojení  </t>
  </si>
  <si>
    <t>(pro použití hnojiv a upravených kalů)</t>
  </si>
  <si>
    <r>
      <t>Pěstované plodiny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(i plodiny neuvedené v JŽ, ale sklizené)</t>
    </r>
    <r>
      <rPr>
        <b/>
        <sz val="11"/>
        <color indexed="8"/>
        <rFont val="Calibri"/>
        <family val="2"/>
        <charset val="238"/>
      </rPr>
      <t xml:space="preserve"> 
</t>
    </r>
    <r>
      <rPr>
        <i/>
        <sz val="11"/>
        <color indexed="8"/>
        <rFont val="Calibri"/>
        <family val="2"/>
        <charset val="238"/>
      </rPr>
      <t>… při pěstování více plodin po sobě, včetně sklizených meziplodin
   (např. senážní žito) se hektary započítají vícekrát (= překryv)</t>
    </r>
  </si>
  <si>
    <t>kg K/ha</t>
  </si>
  <si>
    <t>kg P/ha</t>
  </si>
  <si>
    <t>Prům. odběr:</t>
  </si>
  <si>
    <t>Výměra 2024</t>
  </si>
  <si>
    <t>Hrách polní na zrno</t>
  </si>
  <si>
    <t>Bob polní na zrno</t>
  </si>
  <si>
    <t>dusík
(kg N/ha)</t>
  </si>
  <si>
    <r>
      <t>fosfor
(kg P/ha</t>
    </r>
    <r>
      <rPr>
        <b/>
        <sz val="11"/>
        <color indexed="8"/>
        <rFont val="Calibri"/>
        <family val="2"/>
        <charset val="238"/>
      </rPr>
      <t>)</t>
    </r>
  </si>
  <si>
    <r>
      <t>draslík
(kg K/ha</t>
    </r>
    <r>
      <rPr>
        <b/>
        <sz val="11"/>
        <color indexed="8"/>
        <rFont val="Calibri"/>
        <family val="2"/>
        <charset val="238"/>
      </rPr>
      <t>)</t>
    </r>
  </si>
  <si>
    <t xml:space="preserve">Průměrný odvoz živin </t>
  </si>
  <si>
    <t xml:space="preserve">Celkový odvoz živin 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</si>
  <si>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(hlavní i vedlejší produkt)</t>
    </r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</si>
  <si>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</si>
  <si>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</si>
  <si>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1,0  :</t>
  </si>
  <si>
    <t>Obsah živin</t>
  </si>
  <si>
    <t>Plocha plodiny
(ha)</t>
  </si>
  <si>
    <t>Plocha plodiny (ha)</t>
  </si>
  <si>
    <t>Vstup – symbiotická fixace dusíku</t>
  </si>
  <si>
    <t>Vstup – minerální hnojiva</t>
  </si>
  <si>
    <t>Vstup – aplikace statkových, org., org.-min. hnojiv a kalů</t>
  </si>
  <si>
    <t>Vstupy – celkem</t>
  </si>
  <si>
    <t>Druh a kategorie zvířat</t>
  </si>
  <si>
    <t>Telata</t>
  </si>
  <si>
    <t>do 6 měsíců</t>
  </si>
  <si>
    <t>Jalovice</t>
  </si>
  <si>
    <t>nad 6 měsíců až do 1 roku</t>
  </si>
  <si>
    <t>nad 1 rok až do 2 let</t>
  </si>
  <si>
    <t>nad 2 roky</t>
  </si>
  <si>
    <t>Krávy, bez ohledu na užitkový typ</t>
  </si>
  <si>
    <t>Býci</t>
  </si>
  <si>
    <t>Býci, vč. volů</t>
  </si>
  <si>
    <t>Prasata</t>
  </si>
  <si>
    <t>Předvýkrm</t>
  </si>
  <si>
    <t>Výkrm, prasničky (do zapuštění)</t>
  </si>
  <si>
    <t>Prasničky (od zapuštění)</t>
  </si>
  <si>
    <t>Prasnice</t>
  </si>
  <si>
    <t>Prasata divoká</t>
  </si>
  <si>
    <t>nad 1 rok</t>
  </si>
  <si>
    <t>Mufloni</t>
  </si>
  <si>
    <t>Hříbata</t>
  </si>
  <si>
    <t>Koně</t>
  </si>
  <si>
    <t>nad 1 rok až do 3 let</t>
  </si>
  <si>
    <t>nad 3 roky</t>
  </si>
  <si>
    <t>Jelenovití</t>
  </si>
  <si>
    <t>Srnci</t>
  </si>
  <si>
    <t>Daňci</t>
  </si>
  <si>
    <t>Jeleni</t>
  </si>
  <si>
    <t>Drůbež</t>
  </si>
  <si>
    <t>Nosnice</t>
  </si>
  <si>
    <t>Kuřice</t>
  </si>
  <si>
    <t>Brojleři</t>
  </si>
  <si>
    <t>Kachny chov</t>
  </si>
  <si>
    <t>Kachny výkrm</t>
  </si>
  <si>
    <t>Husy chov</t>
  </si>
  <si>
    <t>Husy výkrm</t>
  </si>
  <si>
    <t>Krůty chov</t>
  </si>
  <si>
    <t>Krůty výkrm</t>
  </si>
  <si>
    <t>Krocani chov</t>
  </si>
  <si>
    <t>Krocani výkrm</t>
  </si>
  <si>
    <t>Věk</t>
  </si>
  <si>
    <t>Průměrná hmotnost (kg/kus)</t>
  </si>
  <si>
    <t>Koně – poníci a jiná malá plemena koní</t>
  </si>
  <si>
    <t>Ovce, kozy – bez jehňat a kůzlat</t>
  </si>
  <si>
    <t>Ovce, kozy – včetně jehňat a kůzlat</t>
  </si>
  <si>
    <t>Ovce, kozy</t>
  </si>
  <si>
    <t>Koně – velká plemena</t>
  </si>
  <si>
    <t>C e l k e m</t>
  </si>
  <si>
    <r>
      <t xml:space="preserve">Výkaly a moč na pastvě – skot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</si>
  <si>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ovce a kozy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</si>
  <si>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koně </t>
    </r>
    <r>
      <rPr>
        <i/>
        <sz val="11"/>
        <color indexed="8"/>
        <rFont val="Calibri"/>
        <family val="2"/>
        <charset val="238"/>
      </rPr>
      <t>(vyplňte list "Pastva")</t>
    </r>
  </si>
  <si>
    <r>
      <t>Výkaly a moč na pastvě – mufloni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</si>
  <si>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jelenovití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</si>
  <si>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prasata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</si>
  <si>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 xml:space="preserve">Výkaly a moč na pastvě – drůbež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</si>
  <si>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Statková hnojiva – pastva celkem </t>
    </r>
    <r>
      <rPr>
        <b/>
        <i/>
        <sz val="11"/>
        <rFont val="Calibri"/>
        <family val="2"/>
        <charset val="238"/>
      </rPr>
      <t>(nezapočítá se do bilance dusíku pro NS)</t>
    </r>
  </si>
  <si>
    <t>xxx</t>
  </si>
  <si>
    <t>Výstupy dusíku, celkem (t N)</t>
  </si>
  <si>
    <t>Dodání dusíku, celkem (t N)</t>
  </si>
  <si>
    <t>Celková bilance (t N)</t>
  </si>
  <si>
    <t>Průměrná bilance dusíku (kg N/ha orné půdy)</t>
  </si>
  <si>
    <t>Počet DJ na 1 ha</t>
  </si>
  <si>
    <t>Tabulka č. 1 Základní údaje</t>
  </si>
  <si>
    <t>Obchodní  závod</t>
  </si>
  <si>
    <t>Tabulka č. 2 Výměra půdy a rozdělení podle půdního druhu</t>
  </si>
  <si>
    <t>Výměra (ha)</t>
  </si>
  <si>
    <t>Rozsah potřebných opatření 
(%, ha) </t>
  </si>
  <si>
    <t>Standardní orná půda (R), travní porost (G), úhor (U)</t>
  </si>
  <si>
    <t xml:space="preserve">… z toho: lehká půda </t>
  </si>
  <si>
    <t xml:space="preserve">                 střední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</si>
  <si>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</si>
  <si>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</si>
  <si>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</si>
  <si>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plodin</t>
  </si>
  <si>
    <t>Váhový koeficient 
(na 1 ha)</t>
  </si>
  <si>
    <t>Výměra 
(ha)</t>
  </si>
  <si>
    <t>Přepočtená plocha 
(ha)</t>
  </si>
  <si>
    <t>Jetel nebo vojtěška, včetně semenářských porostů</t>
  </si>
  <si>
    <t xml:space="preserve">Ostatní víceleté pícniny na standardní orné půdě, trávy na semeno, travní porost 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</si>
  <si>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</si>
  <si>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</si>
  <si>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</si>
  <si>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</si>
  <si>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Směrná dávka (t/ha) </t>
  </si>
  <si>
    <t>Celková spotřeba (t)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</si>
  <si>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</si>
  <si>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 xml:space="preserve">Hnůj, separát kejdy </t>
  </si>
  <si>
    <t>Separát digestátu, tuhý digestát</t>
  </si>
  <si>
    <t>Kompost s poměrem C:N 10 a vyšším</t>
  </si>
  <si>
    <t>Kompost s poměrem C:N nižším než 10</t>
  </si>
  <si>
    <t xml:space="preserve">Upravený kal (ve 100% sušině) </t>
  </si>
  <si>
    <t>Kejda skotu</t>
  </si>
  <si>
    <t>Kejda prasat</t>
  </si>
  <si>
    <t>Digestát</t>
  </si>
  <si>
    <t>Výpalky melasové zahuštěné</t>
  </si>
  <si>
    <t>Výpalky lihovarnické</t>
  </si>
  <si>
    <t>Drůbeží trus sušený</t>
  </si>
  <si>
    <t>Drůbeží trus uleželý</t>
  </si>
  <si>
    <t>Tabulka č. 5 Dodání organické hmoty do půdy a další opatření</t>
  </si>
  <si>
    <t>Přepočtená plocha (ha)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</si>
  <si>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</si>
  <si>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… z toho zapravení slámy obilnin v kombinaci se souběžnou nebo následnou aplikací kejdy, 
    digestátu nebo výpalků</t>
  </si>
  <si>
    <t>Zapravení nesklizeného posledního obrostu víceletých pícnin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</si>
  <si>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</si>
  <si>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</si>
  <si>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Meziplodiny (nad 8 týdnů) pěstované současně s hlavní plodinou</t>
  </si>
  <si>
    <t>Plodiny na úhoru, bez odvozu zelené hmoty</t>
  </si>
  <si>
    <t>Meziplodiny (nad 8 týdnů) nebo plodiny na úhoru, s odvozem zelené hmoty</t>
  </si>
  <si>
    <t xml:space="preserve">Strip-till </t>
  </si>
  <si>
    <t xml:space="preserve">Přímé setí do nezpracované půdy, meziplodin nebo rostlinných zbytků  </t>
  </si>
  <si>
    <t>Tabulka č. 6 Vyhodnocení hospodaření s organickou hmotou na standardní orné půdě</t>
  </si>
  <si>
    <t>Podíl z rozsahu potřebných opatření (%)</t>
  </si>
  <si>
    <t>Rozsah provedených opatření (součet celkových hodnot z tabulek č. 4 a 5)</t>
  </si>
  <si>
    <t>Rozsah potřebných opatření (závěrečná hodnota z tabulky č. 3)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</si>
  <si>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</si>
  <si>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Číslo čtverce</t>
  </si>
  <si>
    <t>Zkrácený kód DPB</t>
  </si>
  <si>
    <t>Výměra DPB 
(ha)</t>
  </si>
  <si>
    <t>Datum operace</t>
  </si>
  <si>
    <t>Strip-till 
(ha)</t>
  </si>
  <si>
    <t>Přímé setí, do</t>
  </si>
  <si>
    <t>Předplodina, 
včetně meziplodin</t>
  </si>
  <si>
    <t>Cílová plodina</t>
  </si>
  <si>
    <t>nezpracované půdy (ha)</t>
  </si>
  <si>
    <t>meziplodin 
(ha)</t>
  </si>
  <si>
    <t>rostlinných zbytků (ha)</t>
  </si>
  <si>
    <t>Položky</t>
  </si>
  <si>
    <t>Strip-till (ha)</t>
  </si>
  <si>
    <t xml:space="preserve">Přímé setí do nezpracované půdy, meziplodin nebo rostlinných zbytků (ha) </t>
  </si>
  <si>
    <t>Součet z jednotlivých DPB (tabulka č. 7)</t>
  </si>
  <si>
    <t>Rozdíl</t>
  </si>
  <si>
    <r>
      <t xml:space="preserve">Kompost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</si>
  <si>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</si>
  <si>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3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</si>
  <si>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4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</si>
  <si>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t>ID LPIS</t>
  </si>
  <si>
    <t>Potřeba:</t>
  </si>
  <si>
    <t>Plnění:</t>
  </si>
  <si>
    <r>
      <t xml:space="preserve">Podmínka pro základní celofaremní ekoplatbu </t>
    </r>
    <r>
      <rPr>
        <i/>
        <sz val="12"/>
        <color theme="1"/>
        <rFont val="Calibri"/>
        <family val="2"/>
        <charset val="238"/>
        <scheme val="minor"/>
      </rPr>
      <t>(celá platba)</t>
    </r>
  </si>
  <si>
    <t>Rozdíl:</t>
  </si>
  <si>
    <t>Potřeba dodání organických látek (OL), v průměru na výměru RGU (t OL/ha)</t>
  </si>
  <si>
    <t>Bilance organické hmoty</t>
  </si>
  <si>
    <r>
      <t xml:space="preserve">Obhospodařovaná plocha </t>
    </r>
    <r>
      <rPr>
        <sz val="11"/>
        <color theme="9" tint="-0.499984740745262"/>
        <rFont val="Calibri"/>
        <family val="2"/>
        <charset val="238"/>
        <scheme val="minor"/>
      </rPr>
      <t>(Jednotná žádost /JŽ/, květen 2025)</t>
    </r>
  </si>
  <si>
    <t xml:space="preserve">Potřeba provedení vhodných opatření </t>
  </si>
  <si>
    <t>Celková výměra (kultury R + G + U)</t>
  </si>
  <si>
    <t>Podle údajů pro žádost o dotace na rok 2025</t>
  </si>
  <si>
    <t>Základní potřeba, před korekcí na plodiny (%, ha):</t>
  </si>
  <si>
    <t xml:space="preserve"> … z toho: lehká půda</t>
  </si>
  <si>
    <t>Informace o zařazení DPB podle převažujícího půdního druhu (Registr půdy – LPIS): 
Tisky – Informativní výpisy – Základní (tab. Součet výměr účinných dle kultur a režimů EZ)</t>
  </si>
  <si>
    <t>Výsledný rozsah potřebných opatření, po korekci na plodiny (%, ha):</t>
  </si>
  <si>
    <t>Snížení základní celofaremní ekoplatby při neplnění podmínky 
(ve vztahu k rozsahu potřebných opatření)</t>
  </si>
  <si>
    <r>
      <t xml:space="preserve">Vybrané plodiny </t>
    </r>
    <r>
      <rPr>
        <sz val="11"/>
        <color theme="9" tint="-0.499984740745262"/>
        <rFont val="Calibri"/>
        <family val="2"/>
        <charset val="238"/>
        <scheme val="minor"/>
      </rPr>
      <t>(JŽ, květen 2025)</t>
    </r>
  </si>
  <si>
    <r>
      <t>Upřesnění potřeby opatření podle výměry vybraných plodin</t>
    </r>
    <r>
      <rPr>
        <sz val="11"/>
        <color theme="9" tint="-0.499984740745262"/>
        <rFont val="Calibri"/>
        <family val="2"/>
        <charset val="238"/>
        <scheme val="minor"/>
      </rPr>
      <t xml:space="preserve"> (JŽ 2025) </t>
    </r>
  </si>
  <si>
    <t>neplnění</t>
  </si>
  <si>
    <t>snížení ekoplatby na výměře R</t>
  </si>
  <si>
    <t>Koef. (na 1 ha)</t>
  </si>
  <si>
    <t>Podíl plodin (%)</t>
  </si>
  <si>
    <t xml:space="preserve">Okopaniny, kukuřice a zelenina zvyšují rozsah potřebných opatření, naopak víceleté pícniny rozsah opatření snižují. </t>
  </si>
  <si>
    <t>Korekce potřeby opatření podle plodin (%, ha)</t>
  </si>
  <si>
    <t>Potřeba (t OL/ha RGU)</t>
  </si>
  <si>
    <t>≤ 15 %</t>
  </si>
  <si>
    <t>o 5 %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</si>
  <si>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</si>
  <si>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</si>
  <si>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&gt; 15 %, ≤ 25 %</t>
  </si>
  <si>
    <t>o 10 %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</si>
  <si>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</si>
  <si>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&gt; 25 %, ≤ 50 %</t>
  </si>
  <si>
    <t>o 50 %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</si>
  <si>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</si>
  <si>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t xml:space="preserve">&gt; 50 % </t>
  </si>
  <si>
    <t>ekoplatba se neposkytne</t>
  </si>
  <si>
    <t>Snížení základní celofaremní ekoplatby při nezpracování výpočtu</t>
  </si>
  <si>
    <t>Při dosažení záporné hodnoty nejsou potřeba žádná opatření</t>
  </si>
  <si>
    <t>Spotřeba (t)</t>
  </si>
  <si>
    <t>předložení výpočtu do 30 dnů po kontrole – snížení o 3 %</t>
  </si>
  <si>
    <t>...při směrné dávce (t/ha)</t>
  </si>
  <si>
    <t>Obsah sušiny dle vyhl.</t>
  </si>
  <si>
    <t>Přepočt. plocha (ha)</t>
  </si>
  <si>
    <t>Plnění (t OL/ha RGU)</t>
  </si>
  <si>
    <t>Plocha i OL jsou přepočteny na efekt hnoje v dávce 30 t/ha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</si>
  <si>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</si>
  <si>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</si>
  <si>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t>Upravený kal (ve 100% sušině)</t>
  </si>
  <si>
    <t>Celkem – hnojení</t>
  </si>
  <si>
    <r>
      <t xml:space="preserve">Dodání organické hmoty a další opatření </t>
    </r>
    <r>
      <rPr>
        <sz val="11"/>
        <color theme="9" tint="-0.499984740745262"/>
        <rFont val="Calibri"/>
        <family val="2"/>
        <charset val="238"/>
        <scheme val="minor"/>
      </rPr>
      <t>(2024/2025)</t>
    </r>
  </si>
  <si>
    <t>Opatření provedená v období od 1. 7. 2024 do 30. 6. 2025, na výměře RGU pro JŽ 2025</t>
  </si>
  <si>
    <t>… z toho kombinace: sláma obilnin + kejda, digestát, výpalky</t>
  </si>
  <si>
    <t>… z toho zapravení slámy obilnin v kombinaci se souběžnou nebo následnou aplikací 
    kejdy, digestátu nebo výpalků</t>
  </si>
  <si>
    <t>Zapravení chrástu, případně nesklizených hlavních plodin</t>
  </si>
  <si>
    <t>Nesklizený obrost víceletých pícnin</t>
  </si>
  <si>
    <t xml:space="preserve">Meziplodiny na zelené hnojení – následuje ozimá plodina </t>
  </si>
  <si>
    <t>Meziplodiny na zelené hnojení – následuje jarní plodina</t>
  </si>
  <si>
    <t>Meziplodiny – současně s hlavní plodinou</t>
  </si>
  <si>
    <t>Meziplodiny – odvoz zelené hmoty</t>
  </si>
  <si>
    <t>Meziplodiny (nad 8 týdnů) s odvozem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</si>
  <si>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bez odvozu zelené hmoty</t>
    </r>
  </si>
  <si>
    <t>Plodiny na úhoru a v ochranných pásech* (neprodukční plochy), bez odvozu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</si>
  <si>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odvoz zelené hmoty</t>
    </r>
  </si>
  <si>
    <t>Plodiny na úhoru a v ochranných pásech* (neprodukční plochy), s odvozem zelené hmoty</t>
  </si>
  <si>
    <t>Přímé setí do nezpracované půdy, meziplodin nebo rostlinných zbytků</t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</si>
  <si>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2025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v rámci půdoochranných technologií, ochranný dělící pás, ochranný pás založený v rámci agrolesnictví, biopás.</t>
    </r>
  </si>
  <si>
    <t>Celkem – další opatření</t>
  </si>
  <si>
    <t>Souhrn opatření – přepočtená plocha (%, ha)</t>
  </si>
  <si>
    <t>Plnění celkem (t OL/ha RGU)</t>
  </si>
  <si>
    <t>Rozdíl (kladná hodnota je rezerva, záporná neplnění) (%, ha)</t>
  </si>
  <si>
    <t>Rozdíl = Plnění - Potřeba (t OL/ha RGU)</t>
  </si>
  <si>
    <t xml:space="preserve">Obhospodařovaná plocha </t>
  </si>
  <si>
    <t xml:space="preserve">Hlavní plodiny 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</si>
  <si>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</si>
  <si>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t>Kukuřice, česnek, křen selský jednoletý, květák, mrkev, paprika, pastinák</t>
  </si>
  <si>
    <t xml:space="preserve">Použití hnojiv a upravených kalů </t>
  </si>
  <si>
    <t>Použití statkových hnojiv rostlinného původu a půdoochranných technologií</t>
  </si>
  <si>
    <t>Brambory, řepa cukrová, řepa krmná, celer, okurka, rajče, zelí</t>
  </si>
  <si>
    <t>Kukuřice, květák, mrkev</t>
  </si>
  <si>
    <t>Česnek, křen selský jednoletý, paprika, pastinák</t>
  </si>
  <si>
    <t>Brokolice, cuketa, meloun, pór, tykev</t>
  </si>
  <si>
    <t>pouze čisté porosty</t>
  </si>
  <si>
    <t xml:space="preserve">včetně směsí (např. jetelotráva) </t>
  </si>
  <si>
    <t>Ostatní víceleté pícniny (R), trávy na semeno, travní porost (G)</t>
  </si>
  <si>
    <r>
      <t xml:space="preserve">Výkaly a moč na pastvě – ostatní hospodářská zvířata </t>
    </r>
    <r>
      <rPr>
        <i/>
        <sz val="11"/>
        <color indexed="8"/>
        <rFont val="Calibri"/>
        <family val="2"/>
        <charset val="238"/>
      </rPr>
      <t>(vyplňte list "Pastva")</t>
    </r>
  </si>
  <si>
    <t>Hnojiva a upravené kaly pro bilance P a N</t>
  </si>
  <si>
    <t>Hnojiva a upravené kaly pro Model OH</t>
  </si>
  <si>
    <t>sláma:</t>
  </si>
  <si>
    <t>chrást:</t>
  </si>
  <si>
    <t>Chrást</t>
  </si>
  <si>
    <t>Nesklizené hlavní plodiny</t>
  </si>
  <si>
    <t>Plodiny pro model OH</t>
  </si>
  <si>
    <t>Pohanka</t>
  </si>
  <si>
    <t>Ostatní obilniny na zrno</t>
  </si>
  <si>
    <r>
      <t>Pšenice ozimá</t>
    </r>
    <r>
      <rPr>
        <i/>
        <sz val="11"/>
        <color indexed="8"/>
        <rFont val="Calibri"/>
        <family val="2"/>
        <charset val="238"/>
      </rPr>
      <t xml:space="preserve"> </t>
    </r>
  </si>
  <si>
    <r>
      <t>Pšenice jarní</t>
    </r>
    <r>
      <rPr>
        <i/>
        <sz val="11"/>
        <color indexed="8"/>
        <rFont val="Calibri"/>
        <family val="2"/>
        <charset val="238"/>
      </rPr>
      <t xml:space="preserve"> </t>
    </r>
  </si>
  <si>
    <t xml:space="preserve">Ostatní luskoviny na zrno </t>
  </si>
  <si>
    <t xml:space="preserve">Ostatní okopaniny </t>
  </si>
  <si>
    <t xml:space="preserve">Řepka </t>
  </si>
  <si>
    <t xml:space="preserve">Ostatní olejniny </t>
  </si>
  <si>
    <r>
      <t xml:space="preserve">Spotřeba minerálních hnojiv </t>
    </r>
    <r>
      <rPr>
        <b/>
        <sz val="14"/>
        <color indexed="8"/>
        <rFont val="Calibri"/>
        <family val="2"/>
        <charset val="238"/>
      </rPr>
      <t>(tuny zboží), za hospodářský rok</t>
    </r>
  </si>
  <si>
    <t>Spotřeba statkových, organických a organominerálních hnojiv (t) 
a upravených kalů (tuny sušiny), za hospodářský rok</t>
  </si>
  <si>
    <t>Prům. počet zvířat na 1 ha</t>
  </si>
  <si>
    <t>velbloud jednohrbý</t>
  </si>
  <si>
    <t>velbloud dvouhrbý</t>
  </si>
  <si>
    <t>lama krotká</t>
  </si>
  <si>
    <t>lama alpaka</t>
  </si>
  <si>
    <t>Průměrná hmotnost pasených zvířat (kg/kus)</t>
  </si>
  <si>
    <r>
      <t>Bilance dusíku pro nitrátovou směrnici</t>
    </r>
    <r>
      <rPr>
        <b/>
        <sz val="14"/>
        <color theme="1"/>
        <rFont val="Calibri"/>
        <family val="2"/>
        <charset val="238"/>
        <scheme val="minor"/>
      </rPr>
      <t xml:space="preserve"> (povinné pro závody hospodařící ve zranitelných oblastech)</t>
    </r>
  </si>
  <si>
    <t>↓</t>
  </si>
  <si>
    <r>
      <rPr>
        <b/>
        <sz val="18"/>
        <color theme="1"/>
        <rFont val="Calibri"/>
        <family val="2"/>
        <charset val="238"/>
        <scheme val="minor"/>
      </rPr>
      <t>Celofaremní ekoplatba 2025</t>
    </r>
    <r>
      <rPr>
        <b/>
        <sz val="14"/>
        <color theme="1"/>
        <rFont val="Calibri"/>
        <family val="2"/>
        <charset val="238"/>
        <scheme val="minor"/>
      </rPr>
      <t xml:space="preserve"> – vyhodnocení hospodaření s organickou hmotou na standardní orné půdě </t>
    </r>
  </si>
  <si>
    <r>
      <rPr>
        <b/>
        <sz val="18"/>
        <color theme="1"/>
        <rFont val="Calibri"/>
        <family val="2"/>
        <charset val="238"/>
      </rPr>
      <t xml:space="preserve">Celofaremní ekoplatba 2025 (R) </t>
    </r>
    <r>
      <rPr>
        <b/>
        <sz val="14"/>
        <color theme="1"/>
        <rFont val="Calibri"/>
        <family val="2"/>
        <charset val="238"/>
      </rPr>
      <t xml:space="preserve">– hospodaření s org. hmotou v hospodářském roce 2024/2025 </t>
    </r>
    <r>
      <rPr>
        <sz val="14"/>
        <color theme="1"/>
        <rFont val="Calibri"/>
        <family val="2"/>
        <charset val="238"/>
      </rPr>
      <t>(od 1. 7. 2024 do 30. 6. 2025)</t>
    </r>
  </si>
  <si>
    <t>Ostatní obilniny na zeleno</t>
  </si>
  <si>
    <t>Počet dní</t>
  </si>
  <si>
    <t>Průměrný počet hodin za den</t>
  </si>
  <si>
    <t>Kukuřice na zeleno a na siláž</t>
  </si>
  <si>
    <t>"Informace o opatření Ekoplatba – udr. hosp. se živinami"</t>
  </si>
  <si>
    <t>tuny čistých živin</t>
  </si>
  <si>
    <t>tuny N</t>
  </si>
  <si>
    <r>
      <t>tuny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</si>
  <si>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r>
      <t>tuny 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</si>
  <si>
    <t>(od 1. 7. 2024 do 30. 6. 2025)</t>
  </si>
  <si>
    <t>v přepočtu z tun minerálních hnojiv (zboží) na tuny čistých živin (fosfor v oxidové formě)</t>
  </si>
  <si>
    <r>
      <t xml:space="preserve"> ID uživatele </t>
    </r>
    <r>
      <rPr>
        <sz val="11"/>
        <color indexed="8"/>
        <rFont val="Calibri"/>
        <family val="2"/>
        <charset val="238"/>
      </rPr>
      <t xml:space="preserve">(LPIS) </t>
    </r>
  </si>
  <si>
    <t xml:space="preserve">             Zpracoval</t>
  </si>
  <si>
    <r>
      <t>fosfor (kg P</t>
    </r>
    <r>
      <rPr>
        <b/>
        <sz val="11"/>
        <color theme="1"/>
        <rFont val="Calibri"/>
        <family val="2"/>
        <charset val="238"/>
      </rPr>
      <t>/t)</t>
    </r>
  </si>
  <si>
    <r>
      <t>draslík (kg K</t>
    </r>
    <r>
      <rPr>
        <b/>
        <sz val="11"/>
        <color theme="1"/>
        <rFont val="Calibri"/>
        <family val="2"/>
        <charset val="238"/>
      </rPr>
      <t>/t)</t>
    </r>
  </si>
  <si>
    <t>Dodání živin na orné půdě</t>
  </si>
  <si>
    <t>pštros dvouprstý</t>
  </si>
  <si>
    <t>nandu pampový</t>
  </si>
  <si>
    <t>emu hnědý</t>
  </si>
  <si>
    <t>Sláma po sklizni kukuřice CCM</t>
  </si>
  <si>
    <t>Sláma obilnin (vč. kukuřice na zrno), olejnin, luskovin a dalších plodin pěstovaných na zrno či semeno (veškerá sláma, bez ohledu na přidání dusíku) atd.</t>
  </si>
  <si>
    <t>Zapravení do půdy, případně ponechání na povrchu slámy obilnin, olejnin, luskovin (pěstovaných i jako zelenina) a ostatních plodin pěstovaných na zrno či semeno nebo rostlinných zbytků po sklizni jetelovin a trav na semeno</t>
  </si>
  <si>
    <t>Ponechané rostlinné zbytky po sklizni kukuřice metodou CCM (corn cob mix)</t>
  </si>
  <si>
    <r>
      <t>t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</si>
  <si>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t>Prům. koeficient pro stanovení potřeby dodání P</t>
  </si>
  <si>
    <t>Výměra celkem a prům. koeficient (vážený průměr)</t>
  </si>
  <si>
    <t>Tab. č. 7 Výpočet bilance dusíku na orné půdě</t>
  </si>
  <si>
    <r>
      <t xml:space="preserve">Výsledek celkové bilance dusíku </t>
    </r>
    <r>
      <rPr>
        <sz val="11"/>
        <color indexed="8"/>
        <rFont val="Calibri"/>
        <family val="2"/>
        <charset val="238"/>
      </rPr>
      <t>(od hodnoty v 1. řádku se odečte hodnota ve 2. řádku)</t>
    </r>
  </si>
  <si>
    <r>
      <t xml:space="preserve">Výsledek průměrné bilance dusíku v kg N/ha orné půdy </t>
    </r>
    <r>
      <rPr>
        <sz val="11"/>
        <color indexed="8"/>
        <rFont val="Calibri"/>
        <family val="2"/>
        <charset val="238"/>
      </rPr>
      <t>(hodnota celkové bilance N ve 2. řádku se vydělí hodnotou v 1. řádku)</t>
    </r>
  </si>
  <si>
    <t xml:space="preserve">Celkové vstupy dusíku (A) </t>
  </si>
  <si>
    <t xml:space="preserve">Celkové výstupy dusíku (B) </t>
  </si>
  <si>
    <t xml:space="preserve">Kontrola souladu údajů vyplněných žadatelem do tabulky č. 7 a do listu "Mod.OH1" </t>
  </si>
  <si>
    <t>Přenos z listu "Mod.OH1" (řádky č. 54 a 55)</t>
  </si>
  <si>
    <r>
      <t xml:space="preserve">Strip-till </t>
    </r>
    <r>
      <rPr>
        <i/>
        <sz val="11"/>
        <color theme="1"/>
        <rFont val="Calibri"/>
        <family val="2"/>
        <charset val="238"/>
        <scheme val="minor"/>
      </rPr>
      <t>(vyplňte i tabulku č. 7 v listu "Mod.OH2"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</si>
  <si>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Přímé setí </t>
    </r>
    <r>
      <rPr>
        <i/>
        <sz val="11"/>
        <color theme="1"/>
        <rFont val="Calibri"/>
        <family val="2"/>
        <charset val="238"/>
        <scheme val="minor"/>
      </rPr>
      <t>(vyplňte i tabulku č. 7 v listu "Mod.OH2")</t>
    </r>
  </si>
  <si>
    <t>(automatický přenos údajů z listu "Mod.OH1", pokud jste však použili půdochranné technologie strip-till nebo přímé setí, vyplňte, prosím, tabulku č. 7 – dole)</t>
  </si>
  <si>
    <t>VÝSLEDEK</t>
  </si>
  <si>
    <t>Celková produkce výkalů a moči, příp. trusu (t)</t>
  </si>
  <si>
    <t>Prům. roční produkce výkalů a moči, příp. trusu na 1 DJ (t)</t>
  </si>
  <si>
    <t>Prům. denní produkce výkalů a moči, příp. trusu na 1 DJ (kg)</t>
  </si>
  <si>
    <t>Koef. přepočtu (DJ/kus)</t>
  </si>
  <si>
    <t>Neovlivnitelné ztráty dusíku (t N)</t>
  </si>
  <si>
    <t>Fosfor</t>
  </si>
  <si>
    <t>Dusík</t>
  </si>
  <si>
    <t>Výstupy fosforu a dusíku, celkem (t P, t N)</t>
  </si>
  <si>
    <t>Dodání fosforu a dusíku, celkem (t P, t N)</t>
  </si>
  <si>
    <t>Tab. č. 6 a 7 Výpočet bilance fosforu a dusíku na orné půdě</t>
  </si>
  <si>
    <r>
      <rPr>
        <b/>
        <i/>
        <sz val="10"/>
        <color theme="1"/>
        <rFont val="Calibri"/>
        <family val="2"/>
        <charset val="238"/>
        <scheme val="minor"/>
      </rPr>
      <t>Rozmezí hodnot výsledku bilance fosforu a dusíku pro získání dotace:</t>
    </r>
    <r>
      <rPr>
        <i/>
        <sz val="10"/>
        <color theme="1"/>
        <rFont val="Calibri"/>
        <family val="2"/>
        <charset val="238"/>
        <scheme val="minor"/>
      </rPr>
      <t xml:space="preserve">
1) konvenční hospodaření 
     </t>
    </r>
    <r>
      <rPr>
        <b/>
        <i/>
        <sz val="10"/>
        <color theme="1"/>
        <rFont val="Calibri"/>
        <family val="2"/>
        <charset val="238"/>
        <scheme val="minor"/>
      </rPr>
      <t>0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
  </t>
    </r>
    <r>
      <rPr>
        <b/>
        <i/>
        <sz val="10"/>
        <color theme="1"/>
        <rFont val="Calibri"/>
        <family val="2"/>
        <charset val="238"/>
        <scheme val="minor"/>
      </rPr>
      <t xml:space="preserve">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pouze v organické hmotě = plná dotace
 </t>
    </r>
    <r>
      <rPr>
        <b/>
        <i/>
        <sz val="10"/>
        <color theme="1"/>
        <rFont val="Calibri"/>
        <family val="2"/>
        <charset val="238"/>
        <scheme val="minor"/>
      </rPr>
      <t xml:space="preserve"> 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i v minerálních hnojivech = 50% dotace
2) uživatel hospodařící v režimu ekologického zemědělství 
   </t>
    </r>
    <r>
      <rPr>
        <b/>
        <i/>
        <sz val="10"/>
        <color theme="1"/>
        <rFont val="Calibri"/>
        <family val="2"/>
        <charset val="238"/>
        <scheme val="minor"/>
      </rPr>
      <t>-2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</t>
    </r>
  </si>
  <si>
    <r>
      <t xml:space="preserve">
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60 kg N/ha</t>
    </r>
  </si>
  <si>
    <t>Celk. bilance (t P, t N), u dusíku po odpočtu ztrát</t>
  </si>
  <si>
    <t>Prům. bilance fosforu a dusíku (kg P/ha, kg N/ha)</t>
  </si>
  <si>
    <t>Do tab. č. 4 doplňte výměry orné půdy podle kategorií zásobenosti fosforem
(najdete v předtisku JŽ 2025 v LPIS na Portálu farmáře – "Informace o opatření Ekoplatba – udr. hosp. se živinami")</t>
  </si>
  <si>
    <t>Celková bilance (t N), po odpočtu neovlivnitelných ztrát N</t>
  </si>
  <si>
    <t>Výpočet produkce výkalů a moči (příp. trusu) při pastvě hospodářských zvířat nebo při jejich jiném pobytu na orné půdě (R, G, U), v období od 1. 7. 2024 do 30. 6. 2025</t>
  </si>
  <si>
    <r>
      <rPr>
        <b/>
        <sz val="18"/>
        <color rgb="FF000000"/>
        <rFont val="Calibri"/>
        <family val="2"/>
        <charset val="238"/>
      </rPr>
      <t xml:space="preserve">Ekoplatba na udržitelné hospodaření se živinami </t>
    </r>
    <r>
      <rPr>
        <b/>
        <sz val="12"/>
        <color rgb="FF000000"/>
        <rFont val="Calibri"/>
        <family val="2"/>
        <charset val="238"/>
      </rPr>
      <t>– postup výpočtu bilance fosforu a dusíku na orné půdě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>(podle nařízení vlády č. 83/2023 Sb., § 24a, příloha č. 20)</t>
    </r>
  </si>
  <si>
    <t>Tab. č. 3 Výpočet výstupů fosforu v kalendářním roce předcházejícím roku podání žádosti a výstupů dusíku v kalendářním roce podání žádosti</t>
  </si>
  <si>
    <t>Tab. č. 5 Dodání fosforu a dusíku do orné půdy v hospodářském roce končícím v roce podání žádosti</t>
  </si>
  <si>
    <t>Statková hnojiva (vč. pastvy)</t>
  </si>
  <si>
    <t>Přívod N symbiotickou fixací</t>
  </si>
  <si>
    <t>Odběr fosforu a dusíku ve sklizených a z orné půdy odvezených rostlinných produktech i dodání těchto živin se vztahuje k výměře orné půdy obhospodařované žadatelem k datu podání žádosti.</t>
  </si>
  <si>
    <t>Statková hnojiva, s výjimkou rostl. zbytků (a pastvy)</t>
  </si>
  <si>
    <t>Sklizené hlavní rostlinné produkty</t>
  </si>
  <si>
    <t>Sklizené vedlejší rostlinné produkty</t>
  </si>
  <si>
    <t>Tabulka č. 4 Výpočet průměrné bilance dusíku (v kg N/ha orné půdy obchodního závodu)</t>
  </si>
  <si>
    <t>Započítaná plocha orné půdy v ha</t>
  </si>
  <si>
    <t>Ponechaný na poli (ha)
– dopočet
(pro Model OH 2025)</t>
  </si>
  <si>
    <t xml:space="preserve">
Ponechaný na poli (ha)
– dopočet</t>
  </si>
  <si>
    <t>Počet DJ
na 1 ha</t>
  </si>
  <si>
    <t xml:space="preserve">Skot </t>
  </si>
  <si>
    <t>bůvol</t>
  </si>
  <si>
    <t>Ostatní hospodářská zvířata (běžci, velbloudovití, bůvoli…)</t>
  </si>
  <si>
    <r>
      <t xml:space="preserve">Orná půda </t>
    </r>
    <r>
      <rPr>
        <sz val="10"/>
        <color theme="1"/>
        <rFont val="Calibri"/>
        <family val="2"/>
        <charset val="238"/>
        <scheme val="minor"/>
      </rPr>
      <t>(zeměd. kultury stand. orná půda, travní porost a úhor)</t>
    </r>
  </si>
  <si>
    <r>
      <t xml:space="preserve"> 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</si>
  <si>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 těžká půda</t>
  </si>
  <si>
    <t>Hnojiva a upr. kaly</t>
  </si>
  <si>
    <t xml:space="preserve">Plodiny 2024 </t>
  </si>
  <si>
    <t xml:space="preserve">Plodiny 2025 </t>
  </si>
  <si>
    <r>
      <t xml:space="preserve">Vložte údaj o výměře </t>
    </r>
    <r>
      <rPr>
        <b/>
        <sz val="12"/>
        <color theme="1"/>
        <rFont val="Calibri"/>
        <family val="2"/>
        <charset val="238"/>
        <scheme val="minor"/>
      </rPr>
      <t xml:space="preserve">orné půdy v roce </t>
    </r>
    <r>
      <rPr>
        <b/>
        <sz val="12"/>
        <color rgb="FF000000"/>
        <rFont val="Calibri"/>
        <family val="2"/>
        <charset val="238"/>
      </rPr>
      <t>2024</t>
    </r>
  </si>
  <si>
    <r>
      <t xml:space="preserve">Vložte údaj o výměře </t>
    </r>
    <r>
      <rPr>
        <b/>
        <sz val="12"/>
        <color rgb="FF000000"/>
        <rFont val="Calibri"/>
        <family val="2"/>
        <charset val="238"/>
      </rPr>
      <t>orné půdy k 31. 5. 2025</t>
    </r>
    <r>
      <rPr>
        <sz val="12"/>
        <color indexed="8"/>
        <rFont val="Calibri"/>
        <family val="2"/>
        <charset val="238"/>
      </rPr>
      <t xml:space="preserve"> (ha), podle předtisku Jednotné žádosti (JŽ) 2025 v LPIS: </t>
    </r>
  </si>
  <si>
    <t>u převzaté půdy lze uvést plochy a výnosy plodin v roce 2024 (i hnojení), jen když</t>
  </si>
  <si>
    <t xml:space="preserve">to bude prokazatelně doloženo – výpis/kopie z evidence hnojení, plodin a výnosů předchozího uživatele půdy </t>
  </si>
  <si>
    <t xml:space="preserve">Údaje pro výpočet odběru P v produktech sklizených v celém kalendářním roce 2024; pokud při převzetí půdy máte doložené informace o plochách/výnosech/zapravené slámě od předchozího uživatele, zde je uveďte také... </t>
  </si>
  <si>
    <t xml:space="preserve">Údaje pro výpočet odběru dusíku v produktech sklizených v kal. roce 2025 a o fixaci N pro bilanci N (ekoplatba i nitrátová směrnice), údaje o plochách vybraných hlavních plodin pro výpočet bilance organické hmoty (Model OH) </t>
  </si>
  <si>
    <t>Odběr i dodání P se vztahuje k výměře orné půdy žadatele k datu podání JŽ 2025; vydanou plochu zde neuvádějte;</t>
  </si>
  <si>
    <t>Neovlivnitelné ztráty v roce 2025</t>
  </si>
  <si>
    <t>Např. poškození kroupami, hraboši nebo suchem. Případné kontrole je vhodné škody doložit fotodokumentaci, hlášením pojistné události ap.</t>
  </si>
  <si>
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</si>
  <si>
    <r>
      <t xml:space="preserve">
Pokud již máte spočtenou celkovou spotřebu čistých živin v minerálních hnojivech
(za uvedený hospodářský rok), uveďte výsledné hodnoty zde.
</t>
    </r>
    <r>
      <rPr>
        <i/>
        <sz val="11"/>
        <color theme="1"/>
        <rFont val="Calibri"/>
        <family val="2"/>
        <charset val="238"/>
        <scheme val="minor"/>
      </rPr>
      <t>Hnojení se vztahuje k výměře orné půdy obhospodařované žadatelem k datu podání žádosti 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</si>
  <si>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r>
      <t xml:space="preserve">U směsí použijte průměrné hodnoty, např. vážený průměr nebo údaje z laboratorní analýzy; pokud ve směsi převažuje min. z 80 % jeden druh hnojiva, použijte řádek pro toto hnojivo.
</t>
    </r>
    <r>
      <rPr>
        <i/>
        <sz val="11"/>
        <rFont val="Calibri"/>
        <family val="2"/>
        <charset val="238"/>
      </rPr>
  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</si>
  <si>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t>Výměra 2025 (JŽ)</t>
  </si>
  <si>
    <t>Zvýšení/snížení výměry</t>
  </si>
  <si>
    <r>
      <t xml:space="preserve">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70 kg N/ha,
v průměru
tří let</t>
    </r>
  </si>
  <si>
    <r>
      <t xml:space="preserve">Bilance dusíku </t>
    </r>
    <r>
      <rPr>
        <b/>
        <i/>
        <sz val="12"/>
        <color theme="1"/>
        <rFont val="Calibri"/>
        <family val="2"/>
        <charset val="238"/>
        <scheme val="minor"/>
      </rPr>
      <t>– jednotlivé položky bilance, v průměru na 1 ha</t>
    </r>
  </si>
  <si>
    <r>
      <t xml:space="preserve">Výstupy – celkem </t>
    </r>
    <r>
      <rPr>
        <i/>
        <sz val="11"/>
        <rFont val="Calibri"/>
        <family val="2"/>
        <charset val="238"/>
      </rPr>
      <t>(odvezeno ve sklizených produktech)</t>
    </r>
  </si>
  <si>
    <r>
      <t xml:space="preserve">Výsledek bilance </t>
    </r>
    <r>
      <rPr>
        <i/>
        <sz val="11"/>
        <rFont val="Calibri"/>
        <family val="2"/>
        <charset val="238"/>
      </rPr>
      <t>(rozdíl mezi vstupy a výstupy)</t>
    </r>
  </si>
  <si>
    <t>Bilance N na orné půdě</t>
  </si>
  <si>
    <r>
      <t xml:space="preserve">Podrobnosti k výpočtu   </t>
    </r>
    <r>
      <rPr>
        <sz val="12"/>
        <color theme="1"/>
        <rFont val="Aptos Narrow"/>
        <family val="2"/>
      </rPr>
      <t>→  →  →</t>
    </r>
  </si>
  <si>
    <r>
      <t xml:space="preserve">vložte údaje do orámovaných buněk </t>
    </r>
    <r>
      <rPr>
        <i/>
        <sz val="11"/>
        <color rgb="FFFF0000"/>
        <rFont val="Calibri"/>
        <family val="2"/>
        <charset val="238"/>
        <scheme val="minor"/>
      </rPr>
      <t>(ostatní se automaticky vyplní)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</rPr>
      <t>↓</t>
    </r>
  </si>
  <si>
    <r>
      <t>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(2024/2025)</t>
    </r>
    <r>
      <rPr>
        <b/>
        <i/>
        <sz val="11"/>
        <color theme="2" tint="-0.749992370372631"/>
        <rFont val="Calibri"/>
        <family val="2"/>
        <charset val="238"/>
        <scheme val="minor"/>
      </rPr>
      <t xml:space="preserve"> – z listu "O.24-25"</t>
    </r>
  </si>
  <si>
    <r>
      <t xml:space="preserve">Celková spotřeba v období od 1. 7. 2024 do 30. 6. 2025 </t>
    </r>
    <r>
      <rPr>
        <b/>
        <i/>
        <sz val="11"/>
        <color theme="2" tint="-0.749992370372631"/>
        <rFont val="Calibri"/>
        <family val="2"/>
        <charset val="238"/>
        <scheme val="minor"/>
      </rPr>
      <t>– automat. převod z listu"O.24-25"</t>
    </r>
  </si>
  <si>
    <r>
      <t>Hnůj, separát kejdy</t>
    </r>
    <r>
      <rPr>
        <i/>
        <sz val="11"/>
        <color theme="2" tint="-0.749992370372631"/>
        <rFont val="Calibri"/>
        <family val="2"/>
        <charset val="238"/>
        <scheme val="minor"/>
      </rPr>
      <t xml:space="preserve"> – řádky s dalšími hnojivy jsou skryty...</t>
    </r>
  </si>
  <si>
    <r>
      <rPr>
        <b/>
        <sz val="11"/>
        <color theme="1"/>
        <rFont val="Calibri"/>
        <family val="2"/>
        <charset val="238"/>
        <scheme val="minor"/>
      </rPr>
      <t>Verze 1 (15. 4. 2025); 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(603 520 684; jan.klir@carc.cz), Ing. Lada Kozlovská (733 375 632; lada.kozlovska@carc.cz)</t>
    </r>
  </si>
  <si>
    <r>
      <t xml:space="preserve">Tabulka č. 7 Seznam dílů půdních bloků, na kterých byly použity půdoochranné technologie </t>
    </r>
    <r>
      <rPr>
        <b/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</si>
  <si>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r>
      <t xml:space="preserve">Tento list "M.24-25ev" použijte, prosím, </t>
    </r>
    <r>
      <rPr>
        <b/>
        <i/>
        <sz val="11"/>
        <color theme="1"/>
        <rFont val="Calibri"/>
        <family val="2"/>
        <charset val="238"/>
        <scheme val="minor"/>
      </rPr>
      <t>pouze při vložení už hotových přepočtů z hnojiv na čisté živiny</t>
    </r>
    <r>
      <rPr>
        <i/>
        <sz val="11"/>
        <color theme="1"/>
        <rFont val="Calibri"/>
        <family val="2"/>
        <charset val="238"/>
        <scheme val="minor"/>
      </rPr>
      <t xml:space="preserve">, např. z programů pro evidenci hnojení;
pokud jste již vyplnili údaje do předchozího listu "M.24-25", tak sem už nic nevkládejte, protože by se použila jen tato data, která mají přednost...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</si>
</sst>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0.0000"/>
    <numFmt numFmtId="168" formatCode="0.00000"/>
    <numFmt numFmtId="169" formatCode="#,##0.000"/>
    <numFmt numFmtId="170" formatCode="#,##0.0000000000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36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vertAlign val="superscript"/>
      <sz val="9"/>
      <color theme="4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Aptos Narrow"/>
      <family val="2"/>
    </font>
    <font>
      <sz val="12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vertAlign val="superscript"/>
      <sz val="11"/>
      <color theme="4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Aptos Narrow"/>
      <family val="2"/>
    </font>
    <font>
      <b/>
      <sz val="11"/>
      <color rgb="FFFF0000"/>
      <name val="Calibri"/>
      <family val="2"/>
      <charset val="238"/>
    </font>
    <font>
      <b/>
      <sz val="18"/>
      <color theme="6" tint="-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2" tint="-0.749992370372631"/>
      <name val="Calibri"/>
      <family val="2"/>
      <charset val="238"/>
      <scheme val="minor"/>
    </font>
    <font>
      <i/>
      <sz val="11"/>
      <color theme="2" tint="-0.74999237037263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4D8AE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0" fillId="0" borderId="1" xfId="0" applyBorder="1" applyProtection="1"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165" fontId="20" fillId="0" borderId="1" xfId="0" applyNumberFormat="1" applyFont="1" applyBorder="1" applyAlignment="1" applyProtection="1">
      <alignment horizontal="right" indent="1"/>
      <protection locked="0"/>
    </xf>
    <xf numFmtId="4" fontId="0" fillId="0" borderId="2" xfId="0" applyNumberFormat="1" applyBorder="1" applyAlignment="1" applyProtection="1">
      <alignment horizontal="right" vertical="center" indent="2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0" fontId="0" fillId="0" borderId="0" xfId="0" applyProtection="1"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left"/>
      <protection hidden="1"/>
    </xf>
    <xf numFmtId="0" fontId="21" fillId="5" borderId="5" xfId="0" applyFont="1" applyFill="1" applyBorder="1" applyAlignment="1" applyProtection="1">
      <alignment horizontal="left"/>
      <protection hidden="1"/>
    </xf>
    <xf numFmtId="165" fontId="20" fillId="3" borderId="1" xfId="0" applyNumberFormat="1" applyFont="1" applyFill="1" applyBorder="1" applyAlignment="1" applyProtection="1">
      <alignment horizontal="right" indent="1"/>
      <protection hidden="1"/>
    </xf>
    <xf numFmtId="164" fontId="0" fillId="4" borderId="1" xfId="0" applyNumberFormat="1" applyFill="1" applyBorder="1" applyProtection="1">
      <protection hidden="1"/>
    </xf>
    <xf numFmtId="0" fontId="21" fillId="5" borderId="4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9" fillId="0" borderId="0" xfId="0" applyFont="1" applyProtection="1">
      <protection hidden="1"/>
    </xf>
    <xf numFmtId="4" fontId="20" fillId="0" borderId="4" xfId="0" applyNumberFormat="1" applyFont="1" applyBorder="1" applyAlignment="1" applyProtection="1">
      <alignment horizontal="right" indent="2"/>
      <protection locked="0"/>
    </xf>
    <xf numFmtId="4" fontId="21" fillId="5" borderId="5" xfId="0" applyNumberFormat="1" applyFont="1" applyFill="1" applyBorder="1" applyAlignment="1" applyProtection="1">
      <alignment horizontal="right" indent="2"/>
      <protection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4" fontId="20" fillId="0" borderId="0" xfId="0" applyNumberFormat="1" applyFont="1" applyAlignment="1" applyProtection="1">
      <alignment horizontal="right" indent="2"/>
      <protection hidden="1"/>
    </xf>
    <xf numFmtId="165" fontId="0" fillId="0" borderId="0" xfId="0" applyNumberForma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right" vertical="center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vertical="center"/>
    </xf>
    <xf numFmtId="9" fontId="0" fillId="7" borderId="6" xfId="0" applyNumberFormat="1" applyFill="1" applyBorder="1" applyAlignment="1">
      <alignment vertical="center"/>
    </xf>
    <xf numFmtId="165" fontId="22" fillId="7" borderId="1" xfId="0" applyNumberFormat="1" applyFont="1" applyFill="1" applyBorder="1" applyAlignment="1">
      <alignment horizontal="right" vertical="center" indent="1"/>
    </xf>
    <xf numFmtId="0" fontId="0" fillId="8" borderId="2" xfId="0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165" fontId="22" fillId="9" borderId="1" xfId="0" applyNumberFormat="1" applyFont="1" applyFill="1" applyBorder="1" applyAlignment="1">
      <alignment horizontal="right" vertical="center" inden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2" fontId="0" fillId="7" borderId="1" xfId="0" applyNumberFormat="1" applyFill="1" applyBorder="1" applyAlignment="1">
      <alignment horizontal="right" vertical="center" indent="2"/>
    </xf>
    <xf numFmtId="4" fontId="0" fillId="11" borderId="5" xfId="0" applyNumberFormat="1" applyFill="1" applyBorder="1" applyAlignment="1">
      <alignment horizontal="right" vertical="center" indent="2"/>
    </xf>
    <xf numFmtId="4" fontId="0" fillId="11" borderId="4" xfId="0" applyNumberFormat="1" applyFill="1" applyBorder="1" applyAlignment="1">
      <alignment horizontal="left" vertical="center" indent="2"/>
    </xf>
    <xf numFmtId="165" fontId="0" fillId="11" borderId="2" xfId="0" applyNumberFormat="1" applyFill="1" applyBorder="1" applyAlignment="1">
      <alignment horizontal="left" vertical="center"/>
    </xf>
    <xf numFmtId="4" fontId="0" fillId="11" borderId="1" xfId="0" applyNumberFormat="1" applyFill="1" applyBorder="1" applyAlignment="1">
      <alignment horizontal="right" vertical="center" indent="2"/>
    </xf>
    <xf numFmtId="4" fontId="26" fillId="11" borderId="3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left" vertical="center"/>
    </xf>
    <xf numFmtId="9" fontId="0" fillId="11" borderId="3" xfId="0" applyNumberFormat="1" applyFill="1" applyBorder="1" applyAlignment="1">
      <alignment vertical="center"/>
    </xf>
    <xf numFmtId="165" fontId="22" fillId="11" borderId="1" xfId="0" applyNumberFormat="1" applyFont="1" applyFill="1" applyBorder="1" applyAlignment="1">
      <alignment horizontal="right" vertical="center" indent="1"/>
    </xf>
    <xf numFmtId="165" fontId="0" fillId="9" borderId="1" xfId="0" applyNumberFormat="1" applyFill="1" applyBorder="1" applyAlignment="1">
      <alignment vertical="center"/>
    </xf>
    <xf numFmtId="9" fontId="0" fillId="7" borderId="4" xfId="0" applyNumberFormat="1" applyFill="1" applyBorder="1" applyAlignment="1">
      <alignment vertical="center"/>
    </xf>
    <xf numFmtId="9" fontId="0" fillId="11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4" fontId="0" fillId="9" borderId="2" xfId="0" applyNumberFormat="1" applyFill="1" applyBorder="1" applyAlignment="1">
      <alignment horizontal="right" vertical="center" indent="2"/>
    </xf>
    <xf numFmtId="4" fontId="0" fillId="9" borderId="5" xfId="0" applyNumberFormat="1" applyFill="1" applyBorder="1" applyAlignment="1">
      <alignment horizontal="right" vertical="center" indent="2"/>
    </xf>
    <xf numFmtId="4" fontId="0" fillId="9" borderId="4" xfId="0" applyNumberFormat="1" applyFill="1" applyBorder="1" applyAlignment="1">
      <alignment horizontal="left" vertical="center" indent="2"/>
    </xf>
    <xf numFmtId="165" fontId="0" fillId="9" borderId="2" xfId="0" applyNumberFormat="1" applyFill="1" applyBorder="1" applyAlignment="1">
      <alignment horizontal="left" vertical="center"/>
    </xf>
    <xf numFmtId="4" fontId="0" fillId="9" borderId="1" xfId="0" applyNumberFormat="1" applyFill="1" applyBorder="1" applyAlignment="1">
      <alignment horizontal="right" vertical="center" indent="2"/>
    </xf>
    <xf numFmtId="4" fontId="27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left" vertical="center" indent="2"/>
    </xf>
    <xf numFmtId="165" fontId="23" fillId="9" borderId="2" xfId="0" applyNumberFormat="1" applyFont="1" applyFill="1" applyBorder="1" applyAlignment="1">
      <alignment horizontal="left" vertical="center"/>
    </xf>
    <xf numFmtId="9" fontId="15" fillId="9" borderId="1" xfId="0" applyNumberFormat="1" applyFont="1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4" fontId="27" fillId="9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4" fontId="0" fillId="9" borderId="9" xfId="0" applyNumberFormat="1" applyFill="1" applyBorder="1" applyAlignment="1">
      <alignment horizontal="right" vertical="center" indent="2"/>
    </xf>
    <xf numFmtId="2" fontId="0" fillId="9" borderId="9" xfId="0" applyNumberFormat="1" applyFill="1" applyBorder="1" applyAlignment="1">
      <alignment horizontal="right" vertical="center" indent="2"/>
    </xf>
    <xf numFmtId="164" fontId="0" fillId="9" borderId="1" xfId="0" applyNumberFormat="1" applyFill="1" applyBorder="1" applyAlignment="1">
      <alignment horizontal="center" vertical="center"/>
    </xf>
    <xf numFmtId="9" fontId="0" fillId="9" borderId="4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4" fontId="15" fillId="10" borderId="1" xfId="0" applyNumberFormat="1" applyFont="1" applyFill="1" applyBorder="1" applyAlignment="1">
      <alignment horizontal="right" vertical="center" indent="2"/>
    </xf>
    <xf numFmtId="4" fontId="15" fillId="10" borderId="9" xfId="0" applyNumberFormat="1" applyFont="1" applyFill="1" applyBorder="1" applyAlignment="1">
      <alignment horizontal="right" vertical="center" indent="2"/>
    </xf>
    <xf numFmtId="2" fontId="0" fillId="10" borderId="9" xfId="0" applyNumberFormat="1" applyFill="1" applyBorder="1" applyAlignment="1">
      <alignment horizontal="right" vertical="center" indent="2"/>
    </xf>
    <xf numFmtId="4" fontId="23" fillId="10" borderId="4" xfId="0" applyNumberFormat="1" applyFont="1" applyFill="1" applyBorder="1" applyAlignment="1">
      <alignment horizontal="left" vertical="center" indent="2"/>
    </xf>
    <xf numFmtId="165" fontId="23" fillId="10" borderId="2" xfId="0" applyNumberFormat="1" applyFont="1" applyFill="1" applyBorder="1" applyAlignment="1">
      <alignment horizontal="left" vertical="center"/>
    </xf>
    <xf numFmtId="4" fontId="26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right" vertical="center" indent="2"/>
    </xf>
    <xf numFmtId="164" fontId="15" fillId="10" borderId="1" xfId="0" applyNumberFormat="1" applyFont="1" applyFill="1" applyBorder="1" applyAlignment="1">
      <alignment horizontal="right" vertical="center" indent="2"/>
    </xf>
    <xf numFmtId="164" fontId="15" fillId="0" borderId="3" xfId="0" applyNumberFormat="1" applyFont="1" applyBorder="1" applyAlignment="1">
      <alignment vertical="center"/>
    </xf>
    <xf numFmtId="164" fontId="15" fillId="0" borderId="0" xfId="0" applyNumberFormat="1" applyFont="1"/>
    <xf numFmtId="164" fontId="0" fillId="7" borderId="3" xfId="0" applyNumberFormat="1" applyFill="1" applyBorder="1" applyAlignment="1" applyProtection="1">
      <alignment horizontal="left" vertical="center"/>
      <protection locked="0"/>
    </xf>
    <xf numFmtId="4" fontId="21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28" fillId="0" borderId="0" xfId="0" applyFont="1" applyProtection="1">
      <protection hidden="1"/>
    </xf>
    <xf numFmtId="4" fontId="28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64" fontId="15" fillId="0" borderId="1" xfId="0" applyNumberFormat="1" applyFont="1" applyBorder="1" applyAlignment="1">
      <alignment vertical="center"/>
    </xf>
    <xf numFmtId="0" fontId="21" fillId="5" borderId="1" xfId="0" applyFont="1" applyFill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right" indent="1"/>
      <protection hidden="1"/>
    </xf>
    <xf numFmtId="165" fontId="21" fillId="5" borderId="1" xfId="0" applyNumberFormat="1" applyFont="1" applyFill="1" applyBorder="1" applyAlignment="1" applyProtection="1">
      <alignment horizontal="right" indent="1"/>
      <protection hidden="1"/>
    </xf>
    <xf numFmtId="0" fontId="20" fillId="13" borderId="1" xfId="0" applyFont="1" applyFill="1" applyBorder="1" applyAlignment="1" applyProtection="1">
      <alignment horizontal="left"/>
      <protection hidden="1"/>
    </xf>
    <xf numFmtId="0" fontId="29" fillId="13" borderId="1" xfId="0" applyFont="1" applyFill="1" applyBorder="1" applyAlignment="1" applyProtection="1">
      <alignment horizontal="left"/>
      <protection hidden="1"/>
    </xf>
    <xf numFmtId="4" fontId="20" fillId="13" borderId="4" xfId="0" applyNumberFormat="1" applyFont="1" applyFill="1" applyBorder="1" applyAlignment="1" applyProtection="1">
      <alignment horizontal="right" indent="2"/>
      <protection hidden="1"/>
    </xf>
    <xf numFmtId="165" fontId="0" fillId="13" borderId="1" xfId="0" applyNumberFormat="1" applyFill="1" applyBorder="1" applyAlignment="1" applyProtection="1">
      <alignment horizontal="right" indent="1"/>
      <protection hidden="1"/>
    </xf>
    <xf numFmtId="0" fontId="20" fillId="0" borderId="1" xfId="0" applyFont="1" applyBorder="1" applyAlignment="1" applyProtection="1">
      <alignment horizontal="left"/>
      <protection locked="0"/>
    </xf>
    <xf numFmtId="0" fontId="20" fillId="6" borderId="1" xfId="0" applyFont="1" applyFill="1" applyBorder="1" applyAlignment="1">
      <alignment horizontal="left"/>
    </xf>
    <xf numFmtId="4" fontId="0" fillId="10" borderId="10" xfId="0" applyNumberFormat="1" applyFill="1" applyBorder="1" applyAlignment="1">
      <alignment horizontal="right" vertical="top" indent="2"/>
    </xf>
    <xf numFmtId="0" fontId="15" fillId="1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2" fontId="20" fillId="0" borderId="1" xfId="0" applyNumberFormat="1" applyFont="1" applyBorder="1" applyAlignment="1" applyProtection="1">
      <alignment horizontal="right" indent="1"/>
      <protection locked="0"/>
    </xf>
    <xf numFmtId="2" fontId="20" fillId="2" borderId="1" xfId="0" applyNumberFormat="1" applyFont="1" applyFill="1" applyBorder="1" applyAlignment="1" applyProtection="1">
      <alignment horizontal="right" indent="1"/>
      <protection locked="0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3" fillId="0" borderId="0" xfId="0" applyFont="1"/>
    <xf numFmtId="164" fontId="15" fillId="9" borderId="1" xfId="0" applyNumberFormat="1" applyFont="1" applyFill="1" applyBorder="1" applyAlignment="1">
      <alignment horizontal="right" indent="3"/>
    </xf>
    <xf numFmtId="166" fontId="20" fillId="0" borderId="1" xfId="0" applyNumberFormat="1" applyFont="1" applyBorder="1" applyAlignment="1" applyProtection="1">
      <alignment horizontal="right" indent="1"/>
      <protection locked="0"/>
    </xf>
    <xf numFmtId="164" fontId="15" fillId="9" borderId="1" xfId="0" applyNumberFormat="1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2"/>
    </xf>
    <xf numFmtId="0" fontId="15" fillId="9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indent="3"/>
    </xf>
    <xf numFmtId="164" fontId="15" fillId="4" borderId="1" xfId="0" applyNumberFormat="1" applyFont="1" applyFill="1" applyBorder="1" applyAlignment="1">
      <alignment horizontal="right" indent="3"/>
    </xf>
    <xf numFmtId="0" fontId="21" fillId="1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0" fillId="17" borderId="1" xfId="0" applyFont="1" applyFill="1" applyBorder="1" applyAlignment="1">
      <alignment horizontal="left"/>
    </xf>
    <xf numFmtId="166" fontId="20" fillId="3" borderId="1" xfId="0" applyNumberFormat="1" applyFont="1" applyFill="1" applyBorder="1" applyAlignment="1">
      <alignment horizontal="right" indent="1"/>
    </xf>
    <xf numFmtId="165" fontId="7" fillId="18" borderId="1" xfId="0" applyNumberFormat="1" applyFont="1" applyFill="1" applyBorder="1" applyAlignment="1">
      <alignment horizontal="right" indent="1"/>
    </xf>
    <xf numFmtId="164" fontId="0" fillId="4" borderId="1" xfId="0" applyNumberFormat="1" applyFill="1" applyBorder="1" applyAlignment="1">
      <alignment horizontal="right" indent="1"/>
    </xf>
    <xf numFmtId="0" fontId="21" fillId="17" borderId="1" xfId="0" applyFont="1" applyFill="1" applyBorder="1" applyAlignment="1">
      <alignment horizontal="left"/>
    </xf>
    <xf numFmtId="166" fontId="20" fillId="19" borderId="1" xfId="0" applyNumberFormat="1" applyFont="1" applyFill="1" applyBorder="1" applyAlignment="1">
      <alignment horizontal="right" indent="1"/>
    </xf>
    <xf numFmtId="165" fontId="20" fillId="19" borderId="1" xfId="0" applyNumberFormat="1" applyFont="1" applyFill="1" applyBorder="1" applyAlignment="1">
      <alignment horizontal="right" indent="1"/>
    </xf>
    <xf numFmtId="165" fontId="20" fillId="3" borderId="1" xfId="0" applyNumberFormat="1" applyFont="1" applyFill="1" applyBorder="1" applyAlignment="1">
      <alignment horizontal="right" indent="1"/>
    </xf>
    <xf numFmtId="0" fontId="20" fillId="12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/>
    </xf>
    <xf numFmtId="0" fontId="20" fillId="20" borderId="1" xfId="0" applyFont="1" applyFill="1" applyBorder="1" applyAlignment="1">
      <alignment horizontal="left"/>
    </xf>
    <xf numFmtId="165" fontId="7" fillId="21" borderId="1" xfId="0" applyNumberFormat="1" applyFont="1" applyFill="1" applyBorder="1" applyAlignment="1">
      <alignment horizontal="right" indent="1"/>
    </xf>
    <xf numFmtId="0" fontId="20" fillId="10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165" fontId="21" fillId="9" borderId="4" xfId="0" applyNumberFormat="1" applyFont="1" applyFill="1" applyBorder="1" applyAlignment="1">
      <alignment horizontal="right" indent="1"/>
    </xf>
    <xf numFmtId="165" fontId="20" fillId="9" borderId="1" xfId="0" applyNumberFormat="1" applyFont="1" applyFill="1" applyBorder="1" applyAlignment="1">
      <alignment horizontal="right" indent="1"/>
    </xf>
    <xf numFmtId="2" fontId="21" fillId="9" borderId="4" xfId="0" applyNumberFormat="1" applyFont="1" applyFill="1" applyBorder="1" applyAlignment="1">
      <alignment horizontal="right" indent="1"/>
    </xf>
    <xf numFmtId="2" fontId="20" fillId="9" borderId="1" xfId="0" applyNumberFormat="1" applyFont="1" applyFill="1" applyBorder="1" applyAlignment="1">
      <alignment horizontal="right" indent="1"/>
    </xf>
    <xf numFmtId="164" fontId="15" fillId="9" borderId="1" xfId="0" applyNumberFormat="1" applyFont="1" applyFill="1" applyBorder="1" applyAlignment="1">
      <alignment horizontal="right" indent="1"/>
    </xf>
    <xf numFmtId="2" fontId="20" fillId="19" borderId="1" xfId="0" applyNumberFormat="1" applyFont="1" applyFill="1" applyBorder="1" applyAlignment="1">
      <alignment horizontal="right" indent="1"/>
    </xf>
    <xf numFmtId="0" fontId="21" fillId="5" borderId="4" xfId="0" applyFont="1" applyFill="1" applyBorder="1"/>
    <xf numFmtId="164" fontId="21" fillId="5" borderId="5" xfId="0" applyNumberFormat="1" applyFont="1" applyFill="1" applyBorder="1"/>
    <xf numFmtId="0" fontId="21" fillId="5" borderId="2" xfId="0" applyFont="1" applyFill="1" applyBorder="1" applyAlignment="1">
      <alignment horizontal="right" indent="1"/>
    </xf>
    <xf numFmtId="166" fontId="7" fillId="18" borderId="1" xfId="0" applyNumberFormat="1" applyFont="1" applyFill="1" applyBorder="1" applyAlignment="1">
      <alignment horizontal="right" indent="1"/>
    </xf>
    <xf numFmtId="165" fontId="21" fillId="5" borderId="5" xfId="0" applyNumberFormat="1" applyFont="1" applyFill="1" applyBorder="1" applyAlignment="1">
      <alignment horizontal="right" indent="1"/>
    </xf>
    <xf numFmtId="165" fontId="21" fillId="9" borderId="4" xfId="0" applyNumberFormat="1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/>
    <xf numFmtId="164" fontId="28" fillId="9" borderId="1" xfId="0" applyNumberFormat="1" applyFont="1" applyFill="1" applyBorder="1" applyAlignment="1">
      <alignment horizontal="center"/>
    </xf>
    <xf numFmtId="165" fontId="28" fillId="9" borderId="12" xfId="0" applyNumberFormat="1" applyFont="1" applyFill="1" applyBorder="1" applyAlignment="1">
      <alignment horizontal="center"/>
    </xf>
    <xf numFmtId="0" fontId="19" fillId="9" borderId="9" xfId="0" applyFont="1" applyFill="1" applyBorder="1"/>
    <xf numFmtId="164" fontId="28" fillId="22" borderId="9" xfId="0" applyNumberFormat="1" applyFont="1" applyFill="1" applyBorder="1"/>
    <xf numFmtId="0" fontId="6" fillId="0" borderId="0" xfId="0" applyFont="1"/>
    <xf numFmtId="0" fontId="3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5" fillId="9" borderId="1" xfId="0" applyFont="1" applyFill="1" applyBorder="1"/>
    <xf numFmtId="164" fontId="0" fillId="0" borderId="1" xfId="0" applyNumberFormat="1" applyBorder="1" applyAlignment="1" applyProtection="1">
      <alignment horizontal="right" indent="3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164" fontId="0" fillId="4" borderId="1" xfId="0" applyNumberFormat="1" applyFill="1" applyBorder="1" applyAlignment="1" applyProtection="1">
      <alignment horizontal="right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15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164" fontId="15" fillId="4" borderId="1" xfId="0" applyNumberFormat="1" applyFont="1" applyFill="1" applyBorder="1" applyAlignment="1" applyProtection="1">
      <alignment horizontal="right" indent="1"/>
      <protection hidden="1"/>
    </xf>
    <xf numFmtId="165" fontId="0" fillId="4" borderId="1" xfId="0" applyNumberFormat="1" applyFill="1" applyBorder="1" applyAlignment="1">
      <alignment horizontal="right" indent="1"/>
    </xf>
    <xf numFmtId="165" fontId="15" fillId="4" borderId="1" xfId="0" applyNumberFormat="1" applyFont="1" applyFill="1" applyBorder="1" applyAlignment="1">
      <alignment horizontal="right" inden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12" borderId="1" xfId="0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18" fillId="0" borderId="0" xfId="0" applyFont="1" applyProtection="1">
      <protection hidden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5" fillId="10" borderId="1" xfId="0" applyFont="1" applyFill="1" applyBorder="1" applyAlignment="1">
      <alignment horizontal="center" vertical="top" wrapText="1"/>
    </xf>
    <xf numFmtId="0" fontId="15" fillId="16" borderId="1" xfId="0" applyFont="1" applyFill="1" applyBorder="1" applyAlignment="1">
      <alignment horizontal="center" vertical="top" wrapText="1"/>
    </xf>
    <xf numFmtId="0" fontId="15" fillId="16" borderId="2" xfId="0" applyFont="1" applyFill="1" applyBorder="1" applyAlignment="1">
      <alignment horizontal="center" vertical="top" wrapText="1"/>
    </xf>
    <xf numFmtId="2" fontId="0" fillId="0" borderId="8" xfId="0" applyNumberFormat="1" applyBorder="1" applyAlignment="1" applyProtection="1">
      <alignment horizontal="right" vertical="center" indent="2"/>
      <protection locked="0"/>
    </xf>
    <xf numFmtId="2" fontId="15" fillId="16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0" fillId="0" borderId="0" xfId="0" applyNumberFormat="1" applyAlignment="1">
      <alignment horizontal="right" vertical="center" indent="2"/>
    </xf>
    <xf numFmtId="9" fontId="0" fillId="9" borderId="6" xfId="0" applyNumberFormat="1" applyFill="1" applyBorder="1" applyAlignment="1">
      <alignment vertical="center"/>
    </xf>
    <xf numFmtId="4" fontId="15" fillId="23" borderId="1" xfId="0" applyNumberFormat="1" applyFont="1" applyFill="1" applyBorder="1" applyAlignment="1">
      <alignment horizontal="right" vertical="center" indent="2"/>
    </xf>
    <xf numFmtId="2" fontId="23" fillId="23" borderId="1" xfId="0" applyNumberFormat="1" applyFont="1" applyFill="1" applyBorder="1" applyAlignment="1">
      <alignment horizontal="right" vertical="center" indent="2"/>
    </xf>
    <xf numFmtId="2" fontId="15" fillId="23" borderId="1" xfId="0" applyNumberFormat="1" applyFont="1" applyFill="1" applyBorder="1" applyAlignment="1">
      <alignment horizontal="right" vertical="center" indent="2"/>
    </xf>
    <xf numFmtId="164" fontId="15" fillId="23" borderId="1" xfId="0" applyNumberFormat="1" applyFont="1" applyFill="1" applyBorder="1" applyAlignment="1">
      <alignment horizontal="right" vertical="center" indent="2"/>
    </xf>
    <xf numFmtId="4" fontId="15" fillId="0" borderId="0" xfId="0" applyNumberFormat="1" applyFont="1" applyAlignment="1">
      <alignment horizontal="right" vertical="center" indent="2"/>
    </xf>
    <xf numFmtId="164" fontId="17" fillId="23" borderId="1" xfId="0" applyNumberFormat="1" applyFont="1" applyFill="1" applyBorder="1" applyAlignment="1">
      <alignment horizontal="right" vertical="center" indent="2"/>
    </xf>
    <xf numFmtId="0" fontId="15" fillId="0" borderId="0" xfId="0" applyFont="1" applyAlignment="1" applyProtection="1">
      <alignment vertical="center"/>
      <protection hidden="1"/>
    </xf>
    <xf numFmtId="3" fontId="0" fillId="0" borderId="0" xfId="0" applyNumberFormat="1" applyAlignment="1">
      <alignment vertical="center"/>
    </xf>
    <xf numFmtId="2" fontId="17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>
      <alignment horizontal="right" vertical="center"/>
    </xf>
    <xf numFmtId="2" fontId="17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164" fontId="17" fillId="0" borderId="0" xfId="0" applyNumberFormat="1" applyFont="1" applyProtection="1">
      <protection hidden="1"/>
    </xf>
    <xf numFmtId="165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164" fontId="33" fillId="0" borderId="0" xfId="0" applyNumberFormat="1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right" vertical="center" indent="4"/>
      <protection hidden="1"/>
    </xf>
    <xf numFmtId="0" fontId="0" fillId="8" borderId="4" xfId="0" applyFill="1" applyBorder="1" applyAlignment="1">
      <alignment horizontal="left" vertical="center"/>
    </xf>
    <xf numFmtId="0" fontId="23" fillId="8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top" wrapText="1"/>
    </xf>
    <xf numFmtId="2" fontId="0" fillId="26" borderId="1" xfId="0" applyNumberFormat="1" applyFill="1" applyBorder="1" applyAlignment="1">
      <alignment horizontal="right" vertical="center" indent="2"/>
    </xf>
    <xf numFmtId="2" fontId="0" fillId="7" borderId="9" xfId="0" applyNumberFormat="1" applyFill="1" applyBorder="1" applyAlignment="1">
      <alignment horizontal="right" vertical="center" indent="2"/>
    </xf>
    <xf numFmtId="4" fontId="15" fillId="0" borderId="18" xfId="0" applyNumberFormat="1" applyFont="1" applyBorder="1" applyAlignment="1" applyProtection="1">
      <alignment horizontal="right" vertical="center" indent="2"/>
      <protection locked="0"/>
    </xf>
    <xf numFmtId="0" fontId="15" fillId="10" borderId="19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3" fontId="0" fillId="15" borderId="1" xfId="0" applyNumberForma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top" wrapText="1"/>
    </xf>
    <xf numFmtId="3" fontId="0" fillId="15" borderId="3" xfId="0" applyNumberFormat="1" applyFill="1" applyBorder="1" applyAlignment="1">
      <alignment horizontal="right" vertical="center" indent="2"/>
    </xf>
    <xf numFmtId="3" fontId="15" fillId="15" borderId="3" xfId="0" applyNumberFormat="1" applyFont="1" applyFill="1" applyBorder="1" applyAlignment="1">
      <alignment vertical="center"/>
    </xf>
    <xf numFmtId="3" fontId="15" fillId="15" borderId="1" xfId="0" applyNumberFormat="1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3" fontId="15" fillId="12" borderId="1" xfId="0" applyNumberFormat="1" applyFont="1" applyFill="1" applyBorder="1" applyAlignment="1">
      <alignment vertical="center"/>
    </xf>
    <xf numFmtId="0" fontId="17" fillId="15" borderId="0" xfId="0" applyFont="1" applyFill="1" applyProtection="1">
      <protection hidden="1"/>
    </xf>
    <xf numFmtId="0" fontId="23" fillId="15" borderId="0" xfId="0" applyFont="1" applyFill="1" applyProtection="1">
      <protection hidden="1"/>
    </xf>
    <xf numFmtId="3" fontId="15" fillId="15" borderId="3" xfId="0" applyNumberFormat="1" applyFont="1" applyFill="1" applyBorder="1" applyAlignment="1">
      <alignment horizontal="right" vertical="center" indent="2"/>
    </xf>
    <xf numFmtId="166" fontId="16" fillId="0" borderId="1" xfId="0" applyNumberFormat="1" applyFont="1" applyBorder="1" applyAlignment="1" applyProtection="1">
      <alignment horizontal="right" indent="1"/>
      <protection locked="0"/>
    </xf>
    <xf numFmtId="0" fontId="46" fillId="0" borderId="0" xfId="0" applyFont="1" applyAlignment="1">
      <alignment horizontal="left" vertical="center"/>
    </xf>
    <xf numFmtId="0" fontId="21" fillId="27" borderId="1" xfId="0" applyFont="1" applyFill="1" applyBorder="1" applyAlignment="1">
      <alignment horizontal="left"/>
    </xf>
    <xf numFmtId="164" fontId="15" fillId="27" borderId="1" xfId="0" applyNumberFormat="1" applyFont="1" applyFill="1" applyBorder="1" applyAlignment="1">
      <alignment horizontal="right" indent="3"/>
    </xf>
    <xf numFmtId="0" fontId="0" fillId="26" borderId="1" xfId="0" applyFill="1" applyBorder="1" applyAlignment="1">
      <alignment horizontal="left"/>
    </xf>
    <xf numFmtId="164" fontId="0" fillId="26" borderId="1" xfId="0" applyNumberFormat="1" applyFill="1" applyBorder="1" applyAlignment="1">
      <alignment horizontal="right" indent="3"/>
    </xf>
    <xf numFmtId="165" fontId="0" fillId="3" borderId="1" xfId="0" applyNumberFormat="1" applyFill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4" fontId="53" fillId="0" borderId="0" xfId="0" applyNumberFormat="1" applyFont="1"/>
    <xf numFmtId="0" fontId="20" fillId="10" borderId="1" xfId="0" applyFont="1" applyFill="1" applyBorder="1" applyAlignment="1" applyProtection="1">
      <alignment horizontal="left"/>
      <protection hidden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2" fontId="15" fillId="0" borderId="0" xfId="0" applyNumberFormat="1" applyFont="1"/>
    <xf numFmtId="0" fontId="23" fillId="4" borderId="1" xfId="0" applyFont="1" applyFill="1" applyBorder="1" applyAlignment="1">
      <alignment vertical="center"/>
    </xf>
    <xf numFmtId="4" fontId="15" fillId="11" borderId="1" xfId="0" applyNumberFormat="1" applyFont="1" applyFill="1" applyBorder="1" applyAlignment="1">
      <alignment horizontal="right" vertical="center" indent="2"/>
    </xf>
    <xf numFmtId="165" fontId="15" fillId="11" borderId="2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4" fontId="0" fillId="25" borderId="4" xfId="0" applyNumberFormat="1" applyFill="1" applyBorder="1" applyAlignment="1">
      <alignment horizontal="left" vertical="center" indent="2"/>
    </xf>
    <xf numFmtId="165" fontId="15" fillId="25" borderId="2" xfId="0" applyNumberFormat="1" applyFont="1" applyFill="1" applyBorder="1" applyAlignment="1">
      <alignment horizontal="right" vertical="center"/>
    </xf>
    <xf numFmtId="4" fontId="15" fillId="25" borderId="1" xfId="0" applyNumberFormat="1" applyFont="1" applyFill="1" applyBorder="1" applyAlignment="1">
      <alignment horizontal="right" vertical="center" indent="2"/>
    </xf>
    <xf numFmtId="0" fontId="41" fillId="0" borderId="0" xfId="0" applyFont="1" applyAlignment="1">
      <alignment horizontal="left" vertical="center"/>
    </xf>
    <xf numFmtId="164" fontId="0" fillId="9" borderId="3" xfId="0" applyNumberFormat="1" applyFill="1" applyBorder="1" applyAlignment="1">
      <alignment horizontal="left" vertical="center"/>
    </xf>
    <xf numFmtId="164" fontId="17" fillId="23" borderId="1" xfId="0" applyNumberFormat="1" applyFont="1" applyFill="1" applyBorder="1" applyAlignment="1">
      <alignment horizontal="left" vertical="center" indent="2"/>
    </xf>
    <xf numFmtId="3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 vertical="center"/>
    </xf>
    <xf numFmtId="2" fontId="0" fillId="11" borderId="8" xfId="0" applyNumberFormat="1" applyFill="1" applyBorder="1" applyAlignment="1">
      <alignment horizontal="left" vertical="center"/>
    </xf>
    <xf numFmtId="2" fontId="0" fillId="9" borderId="8" xfId="0" applyNumberFormat="1" applyFill="1" applyBorder="1" applyAlignment="1">
      <alignment horizontal="left" vertical="center"/>
    </xf>
    <xf numFmtId="2" fontId="23" fillId="9" borderId="8" xfId="0" applyNumberFormat="1" applyFont="1" applyFill="1" applyBorder="1" applyAlignment="1">
      <alignment horizontal="left" vertical="center" indent="2"/>
    </xf>
    <xf numFmtId="164" fontId="15" fillId="10" borderId="1" xfId="0" applyNumberFormat="1" applyFont="1" applyFill="1" applyBorder="1" applyAlignment="1">
      <alignment horizontal="left" vertical="center" indent="2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40" fillId="14" borderId="0" xfId="0" applyFont="1" applyFill="1" applyAlignment="1" applyProtection="1">
      <alignment horizontal="left" vertical="top" wrapText="1"/>
      <protection hidden="1"/>
    </xf>
    <xf numFmtId="0" fontId="40" fillId="14" borderId="0" xfId="0" applyFont="1" applyFill="1" applyAlignment="1" applyProtection="1">
      <alignment horizontal="center" vertical="top" wrapText="1"/>
      <protection hidden="1"/>
    </xf>
    <xf numFmtId="0" fontId="71" fillId="10" borderId="7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/>
      <protection locked="0"/>
    </xf>
    <xf numFmtId="4" fontId="15" fillId="11" borderId="3" xfId="0" applyNumberFormat="1" applyFon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right" vertical="center" indent="1"/>
    </xf>
    <xf numFmtId="165" fontId="0" fillId="11" borderId="1" xfId="0" applyNumberFormat="1" applyFill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4" fontId="0" fillId="10" borderId="3" xfId="0" applyNumberFormat="1" applyFill="1" applyBorder="1" applyAlignment="1">
      <alignment horizontal="right" vertical="center" indent="2"/>
    </xf>
    <xf numFmtId="2" fontId="0" fillId="0" borderId="1" xfId="0" applyNumberFormat="1" applyBorder="1" applyAlignment="1" applyProtection="1">
      <alignment horizontal="right" vertical="center" indent="2"/>
      <protection locked="0"/>
    </xf>
    <xf numFmtId="2" fontId="0" fillId="0" borderId="2" xfId="0" applyNumberFormat="1" applyBorder="1" applyAlignment="1" applyProtection="1">
      <alignment horizontal="right" vertical="center" indent="2"/>
      <protection locked="0"/>
    </xf>
    <xf numFmtId="166" fontId="0" fillId="16" borderId="8" xfId="0" applyNumberFormat="1" applyFill="1" applyBorder="1" applyAlignment="1">
      <alignment horizontal="right" vertical="center" indent="2"/>
    </xf>
    <xf numFmtId="2" fontId="0" fillId="16" borderId="8" xfId="0" applyNumberFormat="1" applyFill="1" applyBorder="1" applyAlignment="1">
      <alignment horizontal="right" vertical="center" indent="2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indent="3"/>
    </xf>
    <xf numFmtId="0" fontId="0" fillId="15" borderId="1" xfId="0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/>
    <xf numFmtId="0" fontId="0" fillId="15" borderId="1" xfId="0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/>
    </xf>
    <xf numFmtId="4" fontId="0" fillId="35" borderId="3" xfId="0" applyNumberFormat="1" applyFill="1" applyBorder="1" applyAlignment="1">
      <alignment horizontal="right" vertical="center" indent="2"/>
    </xf>
    <xf numFmtId="4" fontId="0" fillId="0" borderId="6" xfId="0" applyNumberFormat="1" applyBorder="1" applyAlignment="1" applyProtection="1">
      <alignment horizontal="right" vertical="center" indent="2"/>
      <protection locked="0"/>
    </xf>
    <xf numFmtId="2" fontId="0" fillId="7" borderId="3" xfId="0" applyNumberFormat="1" applyFill="1" applyBorder="1" applyAlignment="1">
      <alignment horizontal="right" vertical="center" indent="2"/>
    </xf>
    <xf numFmtId="2" fontId="0" fillId="7" borderId="21" xfId="0" applyNumberFormat="1" applyFill="1" applyBorder="1" applyAlignment="1">
      <alignment horizontal="right" vertical="center" indent="2"/>
    </xf>
    <xf numFmtId="0" fontId="17" fillId="15" borderId="39" xfId="0" applyFont="1" applyFill="1" applyBorder="1" applyProtection="1">
      <protection hidden="1"/>
    </xf>
    <xf numFmtId="2" fontId="0" fillId="9" borderId="1" xfId="0" applyNumberFormat="1" applyFill="1" applyBorder="1" applyAlignment="1">
      <alignment horizontal="right" vertical="center" indent="2"/>
    </xf>
    <xf numFmtId="2" fontId="0" fillId="9" borderId="2" xfId="0" applyNumberFormat="1" applyFill="1" applyBorder="1" applyAlignment="1">
      <alignment horizontal="right" vertical="center" indent="2"/>
    </xf>
    <xf numFmtId="166" fontId="0" fillId="9" borderId="8" xfId="0" applyNumberFormat="1" applyFill="1" applyBorder="1" applyAlignment="1">
      <alignment horizontal="right" vertical="center" indent="2"/>
    </xf>
    <xf numFmtId="2" fontId="0" fillId="9" borderId="8" xfId="0" applyNumberFormat="1" applyFill="1" applyBorder="1" applyAlignment="1">
      <alignment horizontal="right" vertical="center" indent="2"/>
    </xf>
    <xf numFmtId="4" fontId="0" fillId="0" borderId="0" xfId="0" applyNumberFormat="1"/>
    <xf numFmtId="170" fontId="0" fillId="0" borderId="0" xfId="0" applyNumberFormat="1"/>
    <xf numFmtId="3" fontId="22" fillId="2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right" vertical="center" indent="1"/>
    </xf>
    <xf numFmtId="4" fontId="0" fillId="0" borderId="31" xfId="0" applyNumberFormat="1" applyBorder="1" applyAlignment="1" applyProtection="1">
      <alignment horizontal="right" vertical="center" indent="1"/>
      <protection locked="0"/>
    </xf>
    <xf numFmtId="4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1" xfId="0" applyNumberFormat="1" applyBorder="1" applyAlignment="1">
      <alignment horizontal="right" vertical="center" indent="1"/>
    </xf>
    <xf numFmtId="0" fontId="81" fillId="0" borderId="0" xfId="0" applyFont="1" applyAlignment="1">
      <alignment vertical="top" wrapText="1"/>
    </xf>
    <xf numFmtId="4" fontId="0" fillId="0" borderId="33" xfId="0" applyNumberFormat="1" applyBorder="1" applyAlignment="1" applyProtection="1">
      <alignment horizontal="right" vertical="center" indent="1"/>
      <protection locked="0"/>
    </xf>
    <xf numFmtId="0" fontId="3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4" fontId="28" fillId="0" borderId="1" xfId="0" applyNumberFormat="1" applyFont="1" applyBorder="1" applyAlignment="1">
      <alignment horizontal="right" vertical="center" indent="1"/>
    </xf>
    <xf numFmtId="4" fontId="15" fillId="0" borderId="0" xfId="0" applyNumberFormat="1" applyFont="1" applyAlignment="1">
      <alignment vertical="center"/>
    </xf>
    <xf numFmtId="4" fontId="0" fillId="0" borderId="3" xfId="0" applyNumberFormat="1" applyBorder="1" applyAlignment="1">
      <alignment horizontal="right" vertical="center" indent="1"/>
    </xf>
    <xf numFmtId="2" fontId="0" fillId="0" borderId="1" xfId="0" applyNumberFormat="1" applyBorder="1" applyAlignment="1" applyProtection="1">
      <alignment horizontal="right" indent="1"/>
      <protection locked="0"/>
    </xf>
    <xf numFmtId="0" fontId="15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indent="1"/>
    </xf>
    <xf numFmtId="4" fontId="85" fillId="0" borderId="1" xfId="0" applyNumberFormat="1" applyFont="1" applyBorder="1" applyAlignment="1">
      <alignment horizontal="right" vertical="center" indent="1"/>
    </xf>
    <xf numFmtId="4" fontId="0" fillId="0" borderId="49" xfId="0" applyNumberFormat="1" applyBorder="1" applyAlignment="1" applyProtection="1">
      <alignment horizontal="right" vertical="center" indent="1"/>
      <protection locked="0"/>
    </xf>
    <xf numFmtId="4" fontId="0" fillId="0" borderId="50" xfId="0" applyNumberFormat="1" applyBorder="1" applyAlignment="1" applyProtection="1">
      <alignment horizontal="right" vertical="center" indent="1"/>
      <protection locked="0"/>
    </xf>
    <xf numFmtId="4" fontId="0" fillId="0" borderId="51" xfId="0" applyNumberFormat="1" applyBorder="1" applyAlignment="1" applyProtection="1">
      <alignment horizontal="right" vertical="center" indent="1"/>
      <protection locked="0"/>
    </xf>
    <xf numFmtId="4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0" fillId="36" borderId="1" xfId="0" applyFont="1" applyFill="1" applyBorder="1" applyAlignment="1">
      <alignment horizontal="center" vertical="center" wrapText="1"/>
    </xf>
    <xf numFmtId="0" fontId="80" fillId="10" borderId="1" xfId="0" applyFont="1" applyFill="1" applyBorder="1" applyAlignment="1">
      <alignment vertical="center" wrapText="1"/>
    </xf>
    <xf numFmtId="4" fontId="80" fillId="10" borderId="1" xfId="0" applyNumberFormat="1" applyFont="1" applyFill="1" applyBorder="1" applyAlignment="1">
      <alignment horizontal="center" vertical="center" wrapText="1"/>
    </xf>
    <xf numFmtId="3" fontId="80" fillId="10" borderId="1" xfId="0" applyNumberFormat="1" applyFont="1" applyFill="1" applyBorder="1" applyAlignment="1">
      <alignment horizontal="center" vertical="center" wrapText="1"/>
    </xf>
    <xf numFmtId="4" fontId="80" fillId="10" borderId="1" xfId="0" applyNumberFormat="1" applyFont="1" applyFill="1" applyBorder="1" applyAlignment="1">
      <alignment horizontal="right" vertical="center" wrapText="1" indent="1"/>
    </xf>
    <xf numFmtId="165" fontId="80" fillId="10" borderId="1" xfId="0" applyNumberFormat="1" applyFont="1" applyFill="1" applyBorder="1" applyAlignment="1">
      <alignment horizontal="right" vertical="center" wrapText="1" indent="4"/>
    </xf>
    <xf numFmtId="165" fontId="80" fillId="10" borderId="1" xfId="0" applyNumberFormat="1" applyFont="1" applyFill="1" applyBorder="1" applyAlignment="1">
      <alignment horizontal="right" vertical="center" wrapText="1" indent="1"/>
    </xf>
    <xf numFmtId="0" fontId="22" fillId="36" borderId="1" xfId="0" applyFont="1" applyFill="1" applyBorder="1" applyAlignment="1">
      <alignment horizontal="left" vertical="center" wrapText="1"/>
    </xf>
    <xf numFmtId="0" fontId="22" fillId="36" borderId="1" xfId="0" applyFont="1" applyFill="1" applyBorder="1" applyAlignment="1">
      <alignment horizontal="right" vertical="center" wrapText="1" indent="4"/>
    </xf>
    <xf numFmtId="2" fontId="22" fillId="36" borderId="1" xfId="0" applyNumberFormat="1" applyFont="1" applyFill="1" applyBorder="1" applyAlignment="1">
      <alignment horizontal="right" vertical="center" wrapText="1" indent="4"/>
    </xf>
    <xf numFmtId="4" fontId="22" fillId="36" borderId="1" xfId="0" applyNumberFormat="1" applyFont="1" applyFill="1" applyBorder="1" applyAlignment="1">
      <alignment horizontal="right" vertical="center" wrapText="1" indent="1"/>
    </xf>
    <xf numFmtId="165" fontId="22" fillId="36" borderId="1" xfId="0" applyNumberFormat="1" applyFont="1" applyFill="1" applyBorder="1" applyAlignment="1">
      <alignment horizontal="right" vertical="center" wrapText="1" indent="4"/>
    </xf>
    <xf numFmtId="165" fontId="22" fillId="36" borderId="1" xfId="0" applyNumberFormat="1" applyFont="1" applyFill="1" applyBorder="1" applyAlignment="1">
      <alignment horizontal="right" vertical="center" wrapText="1" indent="1"/>
    </xf>
    <xf numFmtId="0" fontId="80" fillId="10" borderId="1" xfId="0" applyFont="1" applyFill="1" applyBorder="1" applyAlignment="1">
      <alignment vertical="center"/>
    </xf>
    <xf numFmtId="167" fontId="22" fillId="36" borderId="1" xfId="0" applyNumberFormat="1" applyFont="1" applyFill="1" applyBorder="1" applyAlignment="1">
      <alignment horizontal="right" vertical="center" wrapText="1" indent="4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 indent="1"/>
    </xf>
    <xf numFmtId="165" fontId="22" fillId="0" borderId="0" xfId="0" applyNumberFormat="1" applyFont="1" applyAlignment="1">
      <alignment horizontal="right" vertical="center" wrapText="1" indent="4"/>
    </xf>
    <xf numFmtId="167" fontId="22" fillId="0" borderId="0" xfId="0" applyNumberFormat="1" applyFont="1" applyAlignment="1">
      <alignment horizontal="right" vertical="center" wrapText="1" indent="4"/>
    </xf>
    <xf numFmtId="4" fontId="22" fillId="0" borderId="0" xfId="0" applyNumberFormat="1" applyFont="1" applyAlignment="1">
      <alignment horizontal="right" vertical="center" wrapText="1" indent="1"/>
    </xf>
    <xf numFmtId="168" fontId="22" fillId="0" borderId="0" xfId="0" applyNumberFormat="1" applyFont="1" applyAlignment="1">
      <alignment horizontal="right" vertical="center" wrapText="1" indent="1"/>
    </xf>
    <xf numFmtId="0" fontId="80" fillId="10" borderId="3" xfId="0" applyFont="1" applyFill="1" applyBorder="1" applyAlignment="1">
      <alignment horizontal="left" vertical="center"/>
    </xf>
    <xf numFmtId="0" fontId="80" fillId="10" borderId="3" xfId="0" applyFont="1" applyFill="1" applyBorder="1" applyAlignment="1">
      <alignment vertical="center" wrapText="1"/>
    </xf>
    <xf numFmtId="3" fontId="80" fillId="10" borderId="3" xfId="0" applyNumberFormat="1" applyFont="1" applyFill="1" applyBorder="1" applyAlignment="1">
      <alignment horizontal="center" vertical="center" wrapText="1"/>
    </xf>
    <xf numFmtId="4" fontId="80" fillId="10" borderId="3" xfId="0" applyNumberFormat="1" applyFont="1" applyFill="1" applyBorder="1" applyAlignment="1">
      <alignment horizontal="right" vertical="center" wrapText="1" indent="1"/>
    </xf>
    <xf numFmtId="165" fontId="80" fillId="10" borderId="3" xfId="0" applyNumberFormat="1" applyFont="1" applyFill="1" applyBorder="1" applyAlignment="1">
      <alignment horizontal="right" vertical="center" wrapText="1" indent="4"/>
    </xf>
    <xf numFmtId="165" fontId="80" fillId="10" borderId="3" xfId="0" applyNumberFormat="1" applyFont="1" applyFill="1" applyBorder="1" applyAlignment="1">
      <alignment horizontal="right" vertical="center" wrapText="1" indent="1"/>
    </xf>
    <xf numFmtId="165" fontId="22" fillId="36" borderId="3" xfId="0" applyNumberFormat="1" applyFont="1" applyFill="1" applyBorder="1" applyAlignment="1">
      <alignment horizontal="right" vertical="center" wrapText="1" indent="1"/>
    </xf>
    <xf numFmtId="0" fontId="80" fillId="17" borderId="1" xfId="0" applyFont="1" applyFill="1" applyBorder="1" applyAlignment="1">
      <alignment vertical="center" wrapText="1"/>
    </xf>
    <xf numFmtId="3" fontId="80" fillId="17" borderId="1" xfId="0" applyNumberFormat="1" applyFont="1" applyFill="1" applyBorder="1" applyAlignment="1">
      <alignment horizontal="center" vertical="center" wrapText="1"/>
    </xf>
    <xf numFmtId="4" fontId="80" fillId="17" borderId="1" xfId="0" applyNumberFormat="1" applyFont="1" applyFill="1" applyBorder="1" applyAlignment="1">
      <alignment horizontal="right" vertical="center" wrapText="1" indent="1"/>
    </xf>
    <xf numFmtId="0" fontId="72" fillId="0" borderId="0" xfId="0" applyFont="1"/>
    <xf numFmtId="0" fontId="40" fillId="0" borderId="0" xfId="0" applyFont="1"/>
    <xf numFmtId="0" fontId="42" fillId="0" borderId="12" xfId="0" applyFont="1" applyBorder="1"/>
    <xf numFmtId="0" fontId="28" fillId="0" borderId="13" xfId="0" applyFont="1" applyBorder="1"/>
    <xf numFmtId="0" fontId="19" fillId="0" borderId="13" xfId="0" applyFont="1" applyBorder="1"/>
    <xf numFmtId="0" fontId="0" fillId="0" borderId="14" xfId="0" applyBorder="1"/>
    <xf numFmtId="0" fontId="42" fillId="0" borderId="11" xfId="0" applyFont="1" applyBorder="1"/>
    <xf numFmtId="0" fontId="0" fillId="0" borderId="15" xfId="0" applyBorder="1"/>
    <xf numFmtId="0" fontId="34" fillId="0" borderId="0" xfId="0" applyFont="1"/>
    <xf numFmtId="164" fontId="0" fillId="0" borderId="1" xfId="0" applyNumberFormat="1" applyBorder="1" applyAlignment="1">
      <alignment horizontal="right" vertical="center" wrapText="1" indent="1"/>
    </xf>
    <xf numFmtId="0" fontId="43" fillId="0" borderId="0" xfId="0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right" vertical="center" indent="4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4" fontId="15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31" fillId="0" borderId="0" xfId="0" applyNumberFormat="1" applyFont="1" applyAlignment="1">
      <alignment horizontal="right" vertical="center" indent="4"/>
    </xf>
    <xf numFmtId="164" fontId="0" fillId="0" borderId="9" xfId="0" applyNumberFormat="1" applyBorder="1" applyAlignment="1">
      <alignment horizontal="right" vertical="center" wrapText="1" indent="1"/>
    </xf>
    <xf numFmtId="165" fontId="15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30" fillId="0" borderId="0" xfId="0" applyFont="1"/>
    <xf numFmtId="3" fontId="0" fillId="0" borderId="15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0" fontId="0" fillId="24" borderId="1" xfId="0" applyFill="1" applyBorder="1" applyAlignment="1">
      <alignment horizontal="center" vertical="center" wrapText="1"/>
    </xf>
    <xf numFmtId="164" fontId="0" fillId="24" borderId="9" xfId="0" applyNumberFormat="1" applyFill="1" applyBorder="1" applyAlignment="1">
      <alignment horizontal="right" vertical="center" wrapText="1" indent="1"/>
    </xf>
    <xf numFmtId="164" fontId="28" fillId="24" borderId="1" xfId="0" applyNumberFormat="1" applyFont="1" applyFill="1" applyBorder="1" applyAlignment="1">
      <alignment horizontal="right" vertical="center" wrapText="1" indent="1"/>
    </xf>
    <xf numFmtId="0" fontId="42" fillId="0" borderId="6" xfId="0" applyFont="1" applyBorder="1"/>
    <xf numFmtId="0" fontId="19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8" xfId="0" applyBorder="1"/>
    <xf numFmtId="0" fontId="5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7" fillId="0" borderId="0" xfId="0" applyFont="1"/>
    <xf numFmtId="166" fontId="28" fillId="12" borderId="1" xfId="0" applyNumberFormat="1" applyFont="1" applyFill="1" applyBorder="1" applyAlignment="1">
      <alignment horizontal="right" vertical="center" indent="3"/>
    </xf>
    <xf numFmtId="0" fontId="5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28" fillId="17" borderId="1" xfId="0" applyNumberFormat="1" applyFont="1" applyFill="1" applyBorder="1" applyAlignment="1">
      <alignment horizontal="right" vertical="center" indent="3"/>
    </xf>
    <xf numFmtId="166" fontId="58" fillId="2" borderId="0" xfId="0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indent="3"/>
    </xf>
    <xf numFmtId="0" fontId="28" fillId="6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166" fontId="56" fillId="30" borderId="1" xfId="0" applyNumberFormat="1" applyFont="1" applyFill="1" applyBorder="1" applyAlignment="1">
      <alignment horizontal="right" vertical="center" indent="3"/>
    </xf>
    <xf numFmtId="0" fontId="62" fillId="31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 vertical="center"/>
    </xf>
    <xf numFmtId="0" fontId="56" fillId="3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63" fillId="33" borderId="1" xfId="0" applyFont="1" applyFill="1" applyBorder="1" applyAlignment="1">
      <alignment horizontal="left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right" vertical="center"/>
    </xf>
    <xf numFmtId="2" fontId="0" fillId="0" borderId="0" xfId="0" applyNumberFormat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65" fillId="11" borderId="1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 indent="1"/>
    </xf>
    <xf numFmtId="166" fontId="16" fillId="2" borderId="0" xfId="0" applyNumberFormat="1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 indent="4"/>
    </xf>
    <xf numFmtId="0" fontId="15" fillId="4" borderId="1" xfId="0" applyFont="1" applyFill="1" applyBorder="1" applyAlignment="1">
      <alignment horizontal="right" vertical="center"/>
    </xf>
    <xf numFmtId="166" fontId="0" fillId="4" borderId="2" xfId="0" applyNumberFormat="1" applyFill="1" applyBorder="1" applyAlignment="1">
      <alignment horizontal="right" vertical="center" indent="3"/>
    </xf>
    <xf numFmtId="4" fontId="0" fillId="4" borderId="9" xfId="0" applyNumberFormat="1" applyFill="1" applyBorder="1" applyAlignment="1">
      <alignment horizontal="right" vertical="center" indent="4"/>
    </xf>
    <xf numFmtId="4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0" fontId="16" fillId="0" borderId="0" xfId="0" applyFont="1" applyAlignment="1">
      <alignment horizontal="right" vertical="center"/>
    </xf>
    <xf numFmtId="4" fontId="66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 indent="4"/>
    </xf>
    <xf numFmtId="166" fontId="56" fillId="28" borderId="10" xfId="0" applyNumberFormat="1" applyFont="1" applyFill="1" applyBorder="1" applyAlignment="1">
      <alignment horizontal="right" vertical="center" indent="3"/>
    </xf>
    <xf numFmtId="4" fontId="56" fillId="28" borderId="2" xfId="0" applyNumberFormat="1" applyFont="1" applyFill="1" applyBorder="1" applyAlignment="1">
      <alignment horizontal="right" vertical="center" indent="4"/>
    </xf>
    <xf numFmtId="4" fontId="17" fillId="12" borderId="2" xfId="0" applyNumberFormat="1" applyFon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49" fontId="0" fillId="0" borderId="47" xfId="0" applyNumberForma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166" fontId="56" fillId="0" borderId="0" xfId="0" applyNumberFormat="1" applyFont="1" applyAlignment="1">
      <alignment horizontal="right" vertical="center" indent="3"/>
    </xf>
    <xf numFmtId="3" fontId="56" fillId="0" borderId="0" xfId="0" applyNumberFormat="1" applyFont="1" applyAlignment="1">
      <alignment horizontal="right" vertical="center" indent="4"/>
    </xf>
    <xf numFmtId="4" fontId="17" fillId="0" borderId="0" xfId="0" applyNumberFormat="1" applyFont="1" applyAlignment="1">
      <alignment horizontal="right" vertical="center" indent="4"/>
    </xf>
    <xf numFmtId="4" fontId="0" fillId="2" borderId="0" xfId="0" applyNumberFormat="1" applyFill="1" applyAlignment="1">
      <alignment horizontal="right" vertical="center" indent="2"/>
    </xf>
    <xf numFmtId="4" fontId="0" fillId="0" borderId="0" xfId="0" applyNumberFormat="1" applyAlignment="1">
      <alignment horizontal="right" vertical="center" indent="3"/>
    </xf>
    <xf numFmtId="166" fontId="0" fillId="2" borderId="0" xfId="0" applyNumberFormat="1" applyFill="1" applyAlignment="1">
      <alignment horizontal="right" vertical="center" indent="3"/>
    </xf>
    <xf numFmtId="3" fontId="0" fillId="2" borderId="0" xfId="0" applyNumberFormat="1" applyFill="1" applyAlignment="1">
      <alignment horizontal="right" vertical="center" indent="4"/>
    </xf>
    <xf numFmtId="3" fontId="23" fillId="2" borderId="0" xfId="0" applyNumberFormat="1" applyFont="1" applyFill="1" applyAlignment="1">
      <alignment horizontal="right" vertical="center" indent="4"/>
    </xf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left" indent="1"/>
    </xf>
    <xf numFmtId="3" fontId="0" fillId="2" borderId="0" xfId="0" applyNumberFormat="1" applyFill="1"/>
    <xf numFmtId="49" fontId="0" fillId="0" borderId="0" xfId="0" applyNumberFormat="1" applyAlignment="1">
      <alignment horizontal="left" vertical="center" wrapText="1"/>
    </xf>
    <xf numFmtId="0" fontId="65" fillId="11" borderId="1" xfId="0" applyFont="1" applyFill="1" applyBorder="1" applyAlignment="1">
      <alignment vertical="center" wrapText="1"/>
    </xf>
    <xf numFmtId="0" fontId="65" fillId="11" borderId="9" xfId="0" applyFont="1" applyFill="1" applyBorder="1" applyAlignment="1">
      <alignment horizontal="center" vertical="center" wrapText="1"/>
    </xf>
    <xf numFmtId="0" fontId="15" fillId="0" borderId="1" xfId="0" applyFont="1" applyBorder="1"/>
    <xf numFmtId="4" fontId="0" fillId="2" borderId="0" xfId="0" applyNumberFormat="1" applyFill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left" vertical="center"/>
    </xf>
    <xf numFmtId="2" fontId="0" fillId="4" borderId="1" xfId="0" applyNumberFormat="1" applyFill="1" applyBorder="1" applyAlignment="1">
      <alignment horizontal="right" vertical="center" indent="3"/>
    </xf>
    <xf numFmtId="166" fontId="0" fillId="4" borderId="1" xfId="0" applyNumberFormat="1" applyFill="1" applyBorder="1" applyAlignment="1">
      <alignment horizontal="right" vertical="center" indent="4"/>
    </xf>
    <xf numFmtId="166" fontId="0" fillId="4" borderId="1" xfId="0" applyNumberFormat="1" applyFill="1" applyBorder="1" applyAlignment="1">
      <alignment horizontal="right" vertical="center" indent="3"/>
    </xf>
    <xf numFmtId="4" fontId="0" fillId="4" borderId="1" xfId="0" applyNumberFormat="1" applyFill="1" applyBorder="1" applyAlignment="1">
      <alignment horizontal="right" vertical="center" indent="4"/>
    </xf>
    <xf numFmtId="49" fontId="0" fillId="0" borderId="1" xfId="0" applyNumberFormat="1" applyBorder="1" applyAlignment="1">
      <alignment horizontal="left" vertical="center" wrapText="1" indent="1"/>
    </xf>
    <xf numFmtId="0" fontId="0" fillId="0" borderId="9" xfId="0" applyBorder="1"/>
    <xf numFmtId="4" fontId="0" fillId="0" borderId="9" xfId="0" applyNumberForma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 indent="5"/>
    </xf>
    <xf numFmtId="4" fontId="15" fillId="2" borderId="0" xfId="0" applyNumberFormat="1" applyFont="1" applyFill="1" applyAlignment="1">
      <alignment horizontal="center" vertical="center"/>
    </xf>
    <xf numFmtId="166" fontId="69" fillId="4" borderId="1" xfId="0" applyNumberFormat="1" applyFont="1" applyFill="1" applyBorder="1" applyAlignment="1">
      <alignment horizontal="right" vertical="center" indent="3"/>
    </xf>
    <xf numFmtId="4" fontId="69" fillId="4" borderId="1" xfId="0" applyNumberFormat="1" applyFont="1" applyFill="1" applyBorder="1" applyAlignment="1">
      <alignment horizontal="right" vertical="center" indent="4"/>
    </xf>
    <xf numFmtId="4" fontId="17" fillId="4" borderId="1" xfId="0" applyNumberFormat="1" applyFont="1" applyFill="1" applyBorder="1" applyAlignment="1">
      <alignment horizontal="right" vertical="center" indent="4"/>
    </xf>
    <xf numFmtId="49" fontId="50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65" fillId="11" borderId="1" xfId="0" applyFont="1" applyFill="1" applyBorder="1" applyAlignment="1">
      <alignment horizontal="left" vertical="center" wrapText="1"/>
    </xf>
    <xf numFmtId="0" fontId="65" fillId="11" borderId="9" xfId="0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 indent="1"/>
    </xf>
    <xf numFmtId="166" fontId="0" fillId="0" borderId="0" xfId="0" applyNumberFormat="1" applyAlignment="1">
      <alignment horizontal="right" vertical="center" indent="3"/>
    </xf>
    <xf numFmtId="1" fontId="0" fillId="4" borderId="1" xfId="0" applyNumberFormat="1" applyFill="1" applyBorder="1" applyAlignment="1">
      <alignment horizontal="right" vertical="center" indent="5"/>
    </xf>
    <xf numFmtId="9" fontId="15" fillId="0" borderId="0" xfId="0" applyNumberFormat="1" applyFont="1"/>
    <xf numFmtId="4" fontId="15" fillId="2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right" vertical="center" indent="2"/>
    </xf>
    <xf numFmtId="166" fontId="0" fillId="2" borderId="0" xfId="0" applyNumberFormat="1" applyFill="1" applyAlignment="1">
      <alignment horizontal="right" vertical="center" indent="2"/>
    </xf>
    <xf numFmtId="166" fontId="0" fillId="4" borderId="1" xfId="0" applyNumberFormat="1" applyFill="1" applyBorder="1" applyAlignment="1">
      <alignment horizontal="right" vertical="center" indent="2"/>
    </xf>
    <xf numFmtId="4" fontId="15" fillId="2" borderId="0" xfId="0" applyNumberFormat="1" applyFont="1" applyFill="1" applyAlignment="1">
      <alignment horizontal="right" vertical="center" indent="2"/>
    </xf>
    <xf numFmtId="0" fontId="15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4" fontId="15" fillId="4" borderId="1" xfId="0" applyNumberFormat="1" applyFont="1" applyFill="1" applyBorder="1" applyAlignment="1">
      <alignment horizontal="right" vertical="center" indent="4"/>
    </xf>
    <xf numFmtId="1" fontId="0" fillId="0" borderId="0" xfId="0" applyNumberFormat="1" applyAlignment="1">
      <alignment vertical="center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3" fontId="23" fillId="0" borderId="0" xfId="0" applyNumberFormat="1" applyFont="1" applyAlignment="1">
      <alignment horizontal="right" vertical="center" indent="3"/>
    </xf>
    <xf numFmtId="0" fontId="50" fillId="31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right" vertical="center" indent="4"/>
    </xf>
    <xf numFmtId="166" fontId="0" fillId="0" borderId="0" xfId="0" applyNumberFormat="1"/>
    <xf numFmtId="49" fontId="0" fillId="0" borderId="0" xfId="0" applyNumberFormat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5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2" fontId="0" fillId="4" borderId="1" xfId="0" applyNumberFormat="1" applyFill="1" applyBorder="1" applyAlignment="1">
      <alignment horizontal="right" vertical="center" indent="7"/>
    </xf>
    <xf numFmtId="3" fontId="17" fillId="0" borderId="0" xfId="0" applyNumberFormat="1" applyFont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 indent="4"/>
    </xf>
    <xf numFmtId="3" fontId="17" fillId="0" borderId="0" xfId="0" applyNumberFormat="1" applyFont="1" applyAlignment="1">
      <alignment horizontal="right" vertical="center" indent="4"/>
    </xf>
    <xf numFmtId="49" fontId="0" fillId="0" borderId="0" xfId="0" applyNumberFormat="1"/>
    <xf numFmtId="49" fontId="0" fillId="0" borderId="0" xfId="0" applyNumberFormat="1" applyAlignment="1">
      <alignment vertical="top" wrapText="1"/>
    </xf>
    <xf numFmtId="0" fontId="15" fillId="17" borderId="1" xfId="0" applyFont="1" applyFill="1" applyBorder="1" applyAlignment="1">
      <alignment vertical="center"/>
    </xf>
    <xf numFmtId="165" fontId="15" fillId="17" borderId="1" xfId="0" applyNumberFormat="1" applyFont="1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15" fillId="17" borderId="1" xfId="0" applyFont="1" applyFill="1" applyBorder="1" applyAlignment="1">
      <alignment horizontal="right" vertical="center"/>
    </xf>
    <xf numFmtId="166" fontId="15" fillId="17" borderId="1" xfId="0" applyNumberFormat="1" applyFont="1" applyFill="1" applyBorder="1" applyAlignment="1">
      <alignment horizontal="right" vertical="center" indent="3"/>
    </xf>
    <xf numFmtId="4" fontId="15" fillId="17" borderId="1" xfId="0" applyNumberFormat="1" applyFont="1" applyFill="1" applyBorder="1" applyAlignment="1">
      <alignment horizontal="right" vertical="center" indent="4"/>
    </xf>
    <xf numFmtId="4" fontId="17" fillId="17" borderId="1" xfId="0" applyNumberFormat="1" applyFont="1" applyFill="1" applyBorder="1" applyAlignment="1">
      <alignment horizontal="right" vertical="center" indent="4"/>
    </xf>
    <xf numFmtId="0" fontId="62" fillId="0" borderId="0" xfId="0" applyFont="1" applyAlignment="1">
      <alignment horizontal="left" vertical="center"/>
    </xf>
    <xf numFmtId="0" fontId="69" fillId="34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5" fillId="7" borderId="1" xfId="0" applyFont="1" applyFill="1" applyBorder="1" applyAlignment="1">
      <alignment horizontal="right" vertical="center"/>
    </xf>
    <xf numFmtId="166" fontId="69" fillId="30" borderId="1" xfId="0" applyNumberFormat="1" applyFont="1" applyFill="1" applyBorder="1" applyAlignment="1">
      <alignment horizontal="right" vertical="center" indent="3"/>
    </xf>
    <xf numFmtId="4" fontId="15" fillId="7" borderId="1" xfId="0" applyNumberFormat="1" applyFont="1" applyFill="1" applyBorder="1" applyAlignment="1">
      <alignment horizontal="right" vertical="center" indent="4"/>
    </xf>
    <xf numFmtId="169" fontId="17" fillId="7" borderId="1" xfId="0" applyNumberFormat="1" applyFont="1" applyFill="1" applyBorder="1" applyAlignment="1">
      <alignment horizontal="right" vertical="center" indent="4"/>
    </xf>
    <xf numFmtId="0" fontId="0" fillId="0" borderId="13" xfId="0" applyBorder="1" applyAlignment="1">
      <alignment vertical="center"/>
    </xf>
    <xf numFmtId="9" fontId="15" fillId="0" borderId="0" xfId="0" applyNumberFormat="1" applyFont="1" applyAlignment="1">
      <alignment horizontal="right" vertical="center" indent="3"/>
    </xf>
    <xf numFmtId="4" fontId="23" fillId="0" borderId="0" xfId="0" applyNumberFormat="1" applyFont="1" applyAlignment="1">
      <alignment horizontal="right" vertical="center" indent="5"/>
    </xf>
    <xf numFmtId="4" fontId="3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54" fillId="0" borderId="0" xfId="0" applyFont="1"/>
    <xf numFmtId="4" fontId="20" fillId="0" borderId="4" xfId="0" applyNumberFormat="1" applyFont="1" applyBorder="1" applyAlignment="1" applyProtection="1">
      <alignment horizontal="left" indent="2"/>
      <protection locked="0"/>
    </xf>
    <xf numFmtId="0" fontId="40" fillId="10" borderId="0" xfId="0" applyFont="1" applyFill="1" applyAlignment="1">
      <alignment horizontal="left" vertical="center" wrapText="1"/>
    </xf>
    <xf numFmtId="0" fontId="54" fillId="0" borderId="0" xfId="0" applyFont="1" applyAlignment="1">
      <alignment vertical="top" wrapText="1"/>
    </xf>
    <xf numFmtId="4" fontId="23" fillId="0" borderId="1" xfId="0" applyNumberFormat="1" applyFont="1" applyBorder="1" applyAlignment="1">
      <alignment horizontal="center" vertical="center"/>
    </xf>
    <xf numFmtId="4" fontId="23" fillId="15" borderId="0" xfId="0" applyNumberFormat="1" applyFont="1" applyFill="1" applyProtection="1">
      <protection hidden="1"/>
    </xf>
    <xf numFmtId="166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92" fillId="0" borderId="0" xfId="0" applyFont="1"/>
    <xf numFmtId="0" fontId="93" fillId="0" borderId="1" xfId="0" applyFont="1" applyBorder="1" applyAlignment="1">
      <alignment vertical="center"/>
    </xf>
    <xf numFmtId="164" fontId="17" fillId="0" borderId="4" xfId="0" applyNumberFormat="1" applyFont="1" applyBorder="1" applyAlignment="1">
      <alignment horizontal="right" vertical="center"/>
    </xf>
    <xf numFmtId="0" fontId="93" fillId="0" borderId="2" xfId="0" applyFont="1" applyBorder="1" applyAlignment="1">
      <alignment vertical="center"/>
    </xf>
    <xf numFmtId="0" fontId="93" fillId="0" borderId="2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 indent="4"/>
    </xf>
    <xf numFmtId="164" fontId="17" fillId="0" borderId="1" xfId="0" applyNumberFormat="1" applyFont="1" applyBorder="1" applyAlignment="1">
      <alignment horizontal="right" vertical="center" indent="4"/>
    </xf>
    <xf numFmtId="164" fontId="23" fillId="0" borderId="9" xfId="0" applyNumberFormat="1" applyFont="1" applyBorder="1" applyAlignment="1">
      <alignment horizontal="right" vertical="center" indent="4"/>
    </xf>
    <xf numFmtId="164" fontId="85" fillId="0" borderId="1" xfId="0" applyNumberFormat="1" applyFont="1" applyBorder="1" applyAlignment="1">
      <alignment horizontal="right" vertical="center" indent="4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15" fillId="38" borderId="0" xfId="0" applyFont="1" applyFill="1" applyAlignment="1">
      <alignment horizontal="left" vertical="center"/>
    </xf>
    <xf numFmtId="0" fontId="18" fillId="38" borderId="0" xfId="0" applyFont="1" applyFill="1"/>
    <xf numFmtId="4" fontId="0" fillId="38" borderId="0" xfId="0" applyNumberFormat="1" applyFill="1" applyAlignment="1">
      <alignment horizontal="left" vertical="center"/>
    </xf>
    <xf numFmtId="0" fontId="15" fillId="38" borderId="0" xfId="0" applyFont="1" applyFill="1" applyAlignment="1">
      <alignment horizontal="left"/>
    </xf>
    <xf numFmtId="0" fontId="15" fillId="38" borderId="38" xfId="0" applyFont="1" applyFill="1" applyBorder="1" applyAlignment="1">
      <alignment horizontal="left" vertical="center"/>
    </xf>
    <xf numFmtId="0" fontId="0" fillId="38" borderId="0" xfId="0" applyFill="1"/>
    <xf numFmtId="0" fontId="17" fillId="38" borderId="0" xfId="0" applyFont="1" applyFill="1" applyAlignment="1">
      <alignment horizontal="right" vertical="center"/>
    </xf>
    <xf numFmtId="0" fontId="25" fillId="38" borderId="0" xfId="0" applyFont="1" applyFill="1" applyAlignment="1">
      <alignment vertical="center"/>
    </xf>
    <xf numFmtId="4" fontId="23" fillId="38" borderId="0" xfId="0" applyNumberFormat="1" applyFont="1" applyFill="1" applyAlignment="1">
      <alignment horizontal="center" vertical="center"/>
    </xf>
    <xf numFmtId="0" fontId="15" fillId="38" borderId="0" xfId="0" applyFont="1" applyFill="1" applyAlignment="1">
      <alignment horizontal="center" vertical="center"/>
    </xf>
    <xf numFmtId="0" fontId="17" fillId="38" borderId="0" xfId="0" applyFont="1" applyFill="1"/>
    <xf numFmtId="0" fontId="19" fillId="38" borderId="0" xfId="0" applyFont="1" applyFill="1" applyAlignment="1">
      <alignment horizontal="left" vertical="center"/>
    </xf>
    <xf numFmtId="0" fontId="28" fillId="38" borderId="1" xfId="0" applyFont="1" applyFill="1" applyBorder="1" applyAlignment="1">
      <alignment horizontal="left" vertical="center"/>
    </xf>
    <xf numFmtId="0" fontId="56" fillId="38" borderId="1" xfId="0" applyFont="1" applyFill="1" applyBorder="1" applyAlignment="1">
      <alignment horizontal="center" vertical="center"/>
    </xf>
    <xf numFmtId="0" fontId="0" fillId="38" borderId="1" xfId="0" applyFill="1" applyBorder="1" applyAlignment="1">
      <alignment vertical="center" wrapText="1"/>
    </xf>
    <xf numFmtId="0" fontId="0" fillId="38" borderId="4" xfId="0" applyFill="1" applyBorder="1" applyAlignment="1">
      <alignment vertical="center" wrapText="1"/>
    </xf>
    <xf numFmtId="0" fontId="0" fillId="38" borderId="1" xfId="0" applyFill="1" applyBorder="1" applyAlignment="1">
      <alignment vertical="center"/>
    </xf>
    <xf numFmtId="0" fontId="50" fillId="37" borderId="4" xfId="0" applyFont="1" applyFill="1" applyBorder="1" applyAlignment="1">
      <alignment vertical="center" wrapText="1"/>
    </xf>
    <xf numFmtId="0" fontId="0" fillId="38" borderId="4" xfId="0" applyFill="1" applyBorder="1" applyAlignment="1">
      <alignment vertical="center"/>
    </xf>
    <xf numFmtId="0" fontId="0" fillId="38" borderId="48" xfId="0" applyFill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1"/>
    </xf>
    <xf numFmtId="166" fontId="15" fillId="0" borderId="1" xfId="0" applyNumberFormat="1" applyFont="1" applyBorder="1" applyAlignment="1">
      <alignment horizontal="right" vertical="center" wrapText="1" indent="1"/>
    </xf>
    <xf numFmtId="4" fontId="15" fillId="0" borderId="3" xfId="0" applyNumberFormat="1" applyFont="1" applyBorder="1" applyAlignment="1">
      <alignment horizontal="right" inden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5" xfId="0" applyFont="1" applyBorder="1"/>
    <xf numFmtId="4" fontId="23" fillId="0" borderId="1" xfId="0" applyNumberFormat="1" applyFont="1" applyBorder="1" applyAlignment="1">
      <alignment horizontal="right" indent="1"/>
    </xf>
    <xf numFmtId="0" fontId="17" fillId="0" borderId="4" xfId="0" applyFont="1" applyBorder="1"/>
    <xf numFmtId="0" fontId="17" fillId="0" borderId="5" xfId="0" applyFont="1" applyBorder="1"/>
    <xf numFmtId="4" fontId="17" fillId="0" borderId="1" xfId="0" applyNumberFormat="1" applyFont="1" applyBorder="1" applyAlignment="1">
      <alignment horizontal="right" indent="1"/>
    </xf>
    <xf numFmtId="1" fontId="60" fillId="39" borderId="1" xfId="0" applyNumberFormat="1" applyFont="1" applyFill="1" applyBorder="1" applyAlignment="1">
      <alignment horizontal="center" vertical="center"/>
    </xf>
    <xf numFmtId="4" fontId="0" fillId="39" borderId="9" xfId="0" applyNumberFormat="1" applyFill="1" applyBorder="1" applyAlignment="1">
      <alignment horizontal="right" vertical="center" indent="1"/>
    </xf>
    <xf numFmtId="4" fontId="0" fillId="39" borderId="11" xfId="0" applyNumberFormat="1" applyFill="1" applyBorder="1" applyAlignment="1">
      <alignment horizontal="right" vertical="center" indent="1"/>
    </xf>
    <xf numFmtId="4" fontId="0" fillId="39" borderId="3" xfId="0" applyNumberFormat="1" applyFill="1" applyBorder="1" applyAlignment="1">
      <alignment horizontal="right" vertical="center" indent="1"/>
    </xf>
    <xf numFmtId="4" fontId="0" fillId="39" borderId="1" xfId="0" applyNumberFormat="1" applyFill="1" applyBorder="1" applyAlignment="1">
      <alignment horizontal="right" vertical="center" indent="1"/>
    </xf>
    <xf numFmtId="4" fontId="0" fillId="39" borderId="52" xfId="0" applyNumberFormat="1" applyFill="1" applyBorder="1" applyAlignment="1">
      <alignment horizontal="right" vertical="center" indent="1"/>
    </xf>
    <xf numFmtId="4" fontId="0" fillId="39" borderId="17" xfId="0" applyNumberFormat="1" applyFill="1" applyBorder="1" applyAlignment="1">
      <alignment horizontal="right" vertical="center" indent="1"/>
    </xf>
    <xf numFmtId="0" fontId="15" fillId="39" borderId="21" xfId="0" applyFont="1" applyFill="1" applyBorder="1" applyAlignment="1">
      <alignment horizontal="center" vertical="center"/>
    </xf>
    <xf numFmtId="3" fontId="0" fillId="38" borderId="0" xfId="0" applyNumberFormat="1" applyFill="1" applyProtection="1">
      <protection hidden="1"/>
    </xf>
    <xf numFmtId="3" fontId="0" fillId="38" borderId="0" xfId="0" applyNumberFormat="1" applyFill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hidden="1"/>
    </xf>
    <xf numFmtId="0" fontId="9" fillId="38" borderId="0" xfId="0" applyFont="1" applyFill="1" applyAlignment="1">
      <alignment vertical="center"/>
    </xf>
    <xf numFmtId="0" fontId="16" fillId="38" borderId="0" xfId="0" applyFont="1" applyFill="1" applyAlignment="1">
      <alignment vertical="center"/>
    </xf>
    <xf numFmtId="0" fontId="15" fillId="38" borderId="7" xfId="0" applyFont="1" applyFill="1" applyBorder="1" applyAlignment="1">
      <alignment vertical="top"/>
    </xf>
    <xf numFmtId="0" fontId="15" fillId="38" borderId="0" xfId="0" applyFont="1" applyFill="1" applyAlignment="1">
      <alignment vertical="top"/>
    </xf>
    <xf numFmtId="0" fontId="0" fillId="38" borderId="0" xfId="0" applyFill="1" applyAlignment="1">
      <alignment vertical="center"/>
    </xf>
    <xf numFmtId="2" fontId="0" fillId="0" borderId="17" xfId="0" applyNumberFormat="1" applyBorder="1" applyAlignment="1" applyProtection="1">
      <alignment horizontal="right" vertical="center" indent="2"/>
      <protection locked="0"/>
    </xf>
    <xf numFmtId="2" fontId="0" fillId="0" borderId="55" xfId="0" applyNumberFormat="1" applyBorder="1" applyAlignment="1" applyProtection="1">
      <alignment horizontal="right" vertical="center" indent="2"/>
      <protection locked="0"/>
    </xf>
    <xf numFmtId="4" fontId="0" fillId="38" borderId="57" xfId="0" applyNumberFormat="1" applyFill="1" applyBorder="1" applyAlignment="1">
      <alignment horizontal="left" vertical="center"/>
    </xf>
    <xf numFmtId="0" fontId="15" fillId="38" borderId="20" xfId="0" applyFont="1" applyFill="1" applyBorder="1" applyAlignment="1">
      <alignment horizontal="left"/>
    </xf>
    <xf numFmtId="0" fontId="0" fillId="38" borderId="20" xfId="0" applyFill="1" applyBorder="1" applyAlignment="1">
      <alignment vertical="center"/>
    </xf>
    <xf numFmtId="0" fontId="25" fillId="38" borderId="20" xfId="0" applyFont="1" applyFill="1" applyBorder="1" applyAlignment="1">
      <alignment vertical="center"/>
    </xf>
    <xf numFmtId="0" fontId="16" fillId="38" borderId="20" xfId="0" applyFont="1" applyFill="1" applyBorder="1" applyAlignment="1">
      <alignment vertical="center"/>
    </xf>
    <xf numFmtId="0" fontId="23" fillId="10" borderId="58" xfId="0" applyFont="1" applyFill="1" applyBorder="1" applyAlignment="1">
      <alignment horizontal="right"/>
    </xf>
    <xf numFmtId="4" fontId="23" fillId="10" borderId="59" xfId="0" applyNumberFormat="1" applyFont="1" applyFill="1" applyBorder="1"/>
    <xf numFmtId="0" fontId="23" fillId="10" borderId="59" xfId="0" applyFont="1" applyFill="1" applyBorder="1"/>
    <xf numFmtId="0" fontId="0" fillId="10" borderId="59" xfId="0" applyFill="1" applyBorder="1"/>
    <xf numFmtId="0" fontId="0" fillId="10" borderId="59" xfId="0" applyFill="1" applyBorder="1" applyAlignment="1">
      <alignment vertical="top"/>
    </xf>
    <xf numFmtId="0" fontId="15" fillId="10" borderId="59" xfId="0" applyFont="1" applyFill="1" applyBorder="1" applyAlignment="1">
      <alignment vertical="top"/>
    </xf>
    <xf numFmtId="0" fontId="15" fillId="10" borderId="60" xfId="0" applyFont="1" applyFill="1" applyBorder="1" applyAlignment="1">
      <alignment vertical="top"/>
    </xf>
    <xf numFmtId="0" fontId="0" fillId="38" borderId="0" xfId="0" applyFill="1" applyProtection="1">
      <protection hidden="1"/>
    </xf>
    <xf numFmtId="0" fontId="0" fillId="38" borderId="39" xfId="0" applyFill="1" applyBorder="1" applyAlignment="1">
      <alignment vertical="center"/>
    </xf>
    <xf numFmtId="0" fontId="15" fillId="39" borderId="36" xfId="0" applyFont="1" applyFill="1" applyBorder="1" applyAlignment="1">
      <alignment horizontal="center" vertical="center"/>
    </xf>
    <xf numFmtId="0" fontId="15" fillId="25" borderId="3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39" borderId="21" xfId="0" applyFont="1" applyFill="1" applyBorder="1" applyAlignment="1">
      <alignment horizontal="center"/>
    </xf>
    <xf numFmtId="0" fontId="79" fillId="0" borderId="5" xfId="0" applyFont="1" applyBorder="1" applyProtection="1">
      <protection locked="0"/>
    </xf>
    <xf numFmtId="0" fontId="79" fillId="0" borderId="5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right" indent="1"/>
      <protection locked="0"/>
    </xf>
    <xf numFmtId="4" fontId="0" fillId="0" borderId="21" xfId="0" applyNumberFormat="1" applyBorder="1" applyAlignment="1" applyProtection="1">
      <alignment horizontal="right" inden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0" borderId="6" xfId="0" applyFont="1" applyBorder="1"/>
    <xf numFmtId="0" fontId="15" fillId="0" borderId="7" xfId="0" applyFont="1" applyBorder="1"/>
    <xf numFmtId="0" fontId="19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left" wrapText="1"/>
    </xf>
    <xf numFmtId="0" fontId="23" fillId="25" borderId="53" xfId="0" applyFont="1" applyFill="1" applyBorder="1" applyAlignment="1">
      <alignment horizontal="left" wrapText="1"/>
    </xf>
    <xf numFmtId="0" fontId="23" fillId="25" borderId="20" xfId="0" applyFont="1" applyFill="1" applyBorder="1" applyAlignment="1">
      <alignment horizontal="left" wrapText="1"/>
    </xf>
    <xf numFmtId="0" fontId="88" fillId="3" borderId="0" xfId="0" applyFont="1" applyFill="1" applyAlignment="1" applyProtection="1">
      <alignment horizontal="left" vertical="center" wrapText="1"/>
      <protection hidden="1"/>
    </xf>
    <xf numFmtId="0" fontId="15" fillId="7" borderId="1" xfId="0" applyFont="1" applyFill="1" applyBorder="1" applyAlignment="1">
      <alignment horizontal="center" vertical="top" wrapText="1"/>
    </xf>
    <xf numFmtId="0" fontId="0" fillId="8" borderId="1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15" fillId="10" borderId="4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5" fillId="25" borderId="21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/>
    </xf>
    <xf numFmtId="0" fontId="15" fillId="15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 wrapText="1"/>
    </xf>
    <xf numFmtId="0" fontId="2" fillId="37" borderId="35" xfId="0" applyFont="1" applyFill="1" applyBorder="1" applyAlignment="1">
      <alignment horizontal="left" vertical="top" wrapText="1"/>
    </xf>
    <xf numFmtId="0" fontId="47" fillId="37" borderId="37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center" textRotation="90"/>
    </xf>
    <xf numFmtId="0" fontId="15" fillId="11" borderId="6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5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35" fillId="11" borderId="1" xfId="0" applyFont="1" applyFill="1" applyBorder="1" applyAlignment="1">
      <alignment horizontal="center" vertical="top" wrapText="1"/>
    </xf>
    <xf numFmtId="0" fontId="50" fillId="38" borderId="0" xfId="0" applyFont="1" applyFill="1" applyAlignment="1">
      <alignment horizontal="right" vertical="center" indent="1"/>
    </xf>
    <xf numFmtId="0" fontId="15" fillId="0" borderId="0" xfId="0" applyFont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center" vertical="top"/>
    </xf>
    <xf numFmtId="0" fontId="15" fillId="15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5" fillId="12" borderId="1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15" borderId="4" xfId="0" applyFill="1" applyBorder="1" applyAlignment="1">
      <alignment horizontal="center" vertical="top"/>
    </xf>
    <xf numFmtId="0" fontId="0" fillId="15" borderId="5" xfId="0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15" fillId="38" borderId="0" xfId="0" applyFont="1" applyFill="1" applyAlignment="1">
      <alignment horizontal="left" indent="5"/>
    </xf>
    <xf numFmtId="0" fontId="15" fillId="38" borderId="0" xfId="0" applyFont="1" applyFill="1" applyAlignment="1">
      <alignment horizontal="left" vertical="center" indent="5"/>
    </xf>
    <xf numFmtId="0" fontId="28" fillId="11" borderId="0" xfId="0" applyFont="1" applyFill="1" applyAlignment="1">
      <alignment horizontal="left"/>
    </xf>
    <xf numFmtId="0" fontId="54" fillId="11" borderId="0" xfId="0" applyFont="1" applyFill="1" applyAlignment="1">
      <alignment horizontal="left" vertical="center"/>
    </xf>
    <xf numFmtId="0" fontId="54" fillId="11" borderId="53" xfId="0" applyFont="1" applyFill="1" applyBorder="1" applyAlignment="1">
      <alignment horizontal="left" vertical="center"/>
    </xf>
    <xf numFmtId="0" fontId="54" fillId="11" borderId="20" xfId="0" applyFont="1" applyFill="1" applyBorder="1" applyAlignment="1">
      <alignment horizontal="left"/>
    </xf>
    <xf numFmtId="0" fontId="54" fillId="11" borderId="56" xfId="0" applyFont="1" applyFill="1" applyBorder="1" applyAlignment="1">
      <alignment horizontal="left"/>
    </xf>
    <xf numFmtId="0" fontId="15" fillId="11" borderId="24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7" xfId="0" applyFont="1" applyFill="1" applyBorder="1" applyAlignment="1">
      <alignment horizontal="left" vertical="center" wrapText="1"/>
    </xf>
    <xf numFmtId="0" fontId="15" fillId="11" borderId="28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89" fillId="11" borderId="0" xfId="0" applyFont="1" applyFill="1" applyAlignment="1">
      <alignment horizontal="left" vertical="center" wrapText="1"/>
    </xf>
    <xf numFmtId="0" fontId="88" fillId="3" borderId="0" xfId="0" applyFont="1" applyFill="1" applyAlignment="1" applyProtection="1">
      <alignment horizontal="left" vertical="center"/>
      <protection hidden="1"/>
    </xf>
    <xf numFmtId="0" fontId="47" fillId="37" borderId="34" xfId="0" applyFont="1" applyFill="1" applyBorder="1" applyAlignment="1">
      <alignment horizontal="left" vertical="top" wrapText="1"/>
    </xf>
    <xf numFmtId="0" fontId="0" fillId="39" borderId="21" xfId="0" applyFill="1" applyBorder="1" applyAlignment="1">
      <alignment horizontal="left" vertical="center"/>
    </xf>
    <xf numFmtId="0" fontId="18" fillId="16" borderId="9" xfId="0" applyFont="1" applyFill="1" applyBorder="1" applyAlignment="1">
      <alignment horizontal="center" vertical="center" textRotation="90"/>
    </xf>
    <xf numFmtId="0" fontId="18" fillId="16" borderId="17" xfId="0" applyFont="1" applyFill="1" applyBorder="1" applyAlignment="1">
      <alignment horizontal="center" vertical="center" textRotation="90"/>
    </xf>
    <xf numFmtId="0" fontId="18" fillId="16" borderId="3" xfId="0" applyFont="1" applyFill="1" applyBorder="1" applyAlignment="1">
      <alignment horizontal="center" vertical="center" textRotation="90"/>
    </xf>
    <xf numFmtId="0" fontId="15" fillId="7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0" fontId="15" fillId="16" borderId="4" xfId="0" applyFont="1" applyFill="1" applyBorder="1" applyAlignment="1">
      <alignment horizontal="right" vertical="center"/>
    </xf>
    <xf numFmtId="0" fontId="15" fillId="16" borderId="5" xfId="0" applyFont="1" applyFill="1" applyBorder="1" applyAlignment="1">
      <alignment horizontal="right" vertical="center"/>
    </xf>
    <xf numFmtId="0" fontId="15" fillId="16" borderId="2" xfId="0" applyFont="1" applyFill="1" applyBorder="1" applyAlignment="1">
      <alignment horizontal="right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0" fillId="16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4" fontId="21" fillId="0" borderId="0" xfId="0" applyNumberFormat="1" applyFont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78" fillId="14" borderId="7" xfId="0" applyFont="1" applyFill="1" applyBorder="1" applyAlignment="1" applyProtection="1">
      <alignment horizontal="left" vertical="top" wrapText="1"/>
      <protection hidden="1"/>
    </xf>
    <xf numFmtId="0" fontId="29" fillId="15" borderId="1" xfId="0" applyFont="1" applyFill="1" applyBorder="1" applyAlignment="1" applyProtection="1">
      <alignment horizontal="left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21" fillId="15" borderId="12" xfId="0" applyFont="1" applyFill="1" applyBorder="1" applyAlignment="1" applyProtection="1">
      <alignment horizontal="center" vertical="top" wrapText="1"/>
      <protection hidden="1"/>
    </xf>
    <xf numFmtId="0" fontId="21" fillId="15" borderId="6" xfId="0" applyFont="1" applyFill="1" applyBorder="1" applyAlignment="1" applyProtection="1">
      <alignment horizontal="center" vertical="top" wrapText="1"/>
      <protection hidden="1"/>
    </xf>
    <xf numFmtId="0" fontId="78" fillId="14" borderId="0" xfId="0" applyFont="1" applyFill="1" applyAlignment="1" applyProtection="1">
      <alignment horizontal="left" vertical="top" wrapText="1"/>
      <protection hidden="1"/>
    </xf>
    <xf numFmtId="0" fontId="0" fillId="15" borderId="11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15" borderId="9" xfId="0" applyFill="1" applyBorder="1" applyAlignment="1">
      <alignment horizontal="center" vertical="top" wrapText="1"/>
    </xf>
    <xf numFmtId="0" fontId="0" fillId="15" borderId="17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 wrapText="1"/>
    </xf>
    <xf numFmtId="0" fontId="21" fillId="15" borderId="1" xfId="0" applyFont="1" applyFill="1" applyBorder="1" applyAlignment="1">
      <alignment horizontal="center" vertical="top" wrapText="1"/>
    </xf>
    <xf numFmtId="167" fontId="0" fillId="4" borderId="21" xfId="0" applyNumberForma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left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7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1"/>
    </xf>
    <xf numFmtId="0" fontId="40" fillId="25" borderId="7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19" fillId="24" borderId="7" xfId="0" applyFont="1" applyFill="1" applyBorder="1" applyAlignment="1">
      <alignment vertical="center" wrapText="1"/>
    </xf>
    <xf numFmtId="0" fontId="49" fillId="0" borderId="0" xfId="0" applyFont="1" applyAlignment="1" applyProtection="1">
      <alignment horizontal="left" vertical="center"/>
      <protection hidden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4" borderId="4" xfId="0" applyFill="1" applyBorder="1" applyAlignment="1">
      <alignment horizontal="left" vertical="center" wrapText="1"/>
    </xf>
    <xf numFmtId="0" fontId="0" fillId="24" borderId="5" xfId="0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24" borderId="4" xfId="0" applyFont="1" applyFill="1" applyBorder="1" applyAlignment="1">
      <alignment horizontal="left" vertical="center" wrapText="1"/>
    </xf>
    <xf numFmtId="0" fontId="15" fillId="24" borderId="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8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93" fillId="0" borderId="1" xfId="0" applyFont="1" applyBorder="1" applyAlignment="1">
      <alignment horizontal="left" vertical="center"/>
    </xf>
    <xf numFmtId="0" fontId="93" fillId="0" borderId="4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62" fillId="31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left" vertical="center"/>
    </xf>
    <xf numFmtId="0" fontId="56" fillId="28" borderId="1" xfId="0" applyFont="1" applyFill="1" applyBorder="1" applyAlignment="1">
      <alignment horizontal="right" vertical="center" wrapText="1"/>
    </xf>
    <xf numFmtId="0" fontId="59" fillId="39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56" fillId="29" borderId="1" xfId="0" applyFont="1" applyFill="1" applyBorder="1" applyAlignment="1">
      <alignment horizontal="right" vertical="center" wrapText="1"/>
    </xf>
    <xf numFmtId="0" fontId="56" fillId="30" borderId="1" xfId="0" applyFont="1" applyFill="1" applyBorder="1" applyAlignment="1">
      <alignment horizontal="right" vertical="center" wrapText="1"/>
    </xf>
    <xf numFmtId="0" fontId="54" fillId="0" borderId="5" xfId="0" applyFont="1" applyBorder="1" applyAlignment="1">
      <alignment horizontal="right" indent="3"/>
    </xf>
    <xf numFmtId="0" fontId="15" fillId="0" borderId="4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0" fillId="0" borderId="1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 wrapText="1" indent="1"/>
    </xf>
    <xf numFmtId="4" fontId="0" fillId="0" borderId="21" xfId="0" applyNumberFormat="1" applyBorder="1" applyAlignment="1">
      <alignment horizontal="left" vertical="center"/>
    </xf>
    <xf numFmtId="0" fontId="15" fillId="4" borderId="1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47" xfId="0" applyNumberFormat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0" fontId="67" fillId="31" borderId="9" xfId="0" applyFont="1" applyFill="1" applyBorder="1" applyAlignment="1">
      <alignment horizontal="center" vertical="top" wrapText="1"/>
    </xf>
    <xf numFmtId="0" fontId="67" fillId="31" borderId="17" xfId="0" applyFont="1" applyFill="1" applyBorder="1" applyAlignment="1">
      <alignment horizontal="center" vertical="top" wrapText="1"/>
    </xf>
    <xf numFmtId="0" fontId="67" fillId="31" borderId="3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166" fontId="0" fillId="0" borderId="4" xfId="0" applyNumberFormat="1" applyBorder="1" applyAlignment="1">
      <alignment horizontal="right" vertical="center" wrapText="1" indent="1"/>
    </xf>
    <xf numFmtId="166" fontId="0" fillId="0" borderId="2" xfId="0" applyNumberFormat="1" applyBorder="1" applyAlignment="1">
      <alignment horizontal="right" vertical="center" wrapText="1" indent="1"/>
    </xf>
    <xf numFmtId="4" fontId="15" fillId="0" borderId="4" xfId="0" applyNumberFormat="1" applyFont="1" applyBorder="1" applyAlignment="1">
      <alignment horizontal="right" vertical="center" wrapText="1" indent="1"/>
    </xf>
    <xf numFmtId="4" fontId="15" fillId="0" borderId="2" xfId="0" applyNumberFormat="1" applyFon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4" fillId="0" borderId="13" xfId="0" applyFont="1" applyBorder="1" applyAlignment="1">
      <alignment horizontal="center"/>
    </xf>
    <xf numFmtId="0" fontId="54" fillId="0" borderId="13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 indent="13"/>
    </xf>
    <xf numFmtId="4" fontId="17" fillId="0" borderId="1" xfId="0" applyNumberFormat="1" applyFont="1" applyBorder="1" applyAlignment="1">
      <alignment horizontal="right" indent="13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F2121AEF-25B1-408F-94F5-81F3AD23F863}"/>
  </cellStyles>
  <dxfs count="71">
    <dxf>
      <font>
        <color rgb="FF006100"/>
      </font>
      <fill>
        <patternFill>
          <bgColor rgb="FFC6EFCE"/>
        </patternFill>
      </fill>
    </dxf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3300"/>
      </font>
      <fill>
        <patternFill>
          <bgColor rgb="FF33CC33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006600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DDDDDD"/>
      <color rgb="FFC0C0C0"/>
      <color rgb="FFFFFFCC"/>
      <color rgb="FFFFFF99"/>
      <color rgb="FF0000FF"/>
      <color rgb="FFCCFFCC"/>
      <color rgb="FF99FF99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4274435216329"/>
          <c:y val="1.575213736733927E-2"/>
          <c:w val="0.81301889580976894"/>
          <c:h val="0.9369055540334261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DD-42D5-8360-2053B46E50A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EDD-42D5-8360-2053B46E5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Mod.OH1!$Q$1:$R$1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Mod.OH1!$Q$2:$R$2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D-42D5-8360-2053B4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1"/>
        <c:axPos val="b"/>
        <c:majorGridlines/>
        <c:numFmt formatCode="0%" sourceLinked="0"/>
        <c:majorTickMark val="out"/>
        <c:minorTickMark val="none"/>
        <c:tickLblPos val="nextTo"/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22516</xdr:rowOff>
    </xdr:from>
    <xdr:to>
      <xdr:col>4</xdr:col>
      <xdr:colOff>0</xdr:colOff>
      <xdr:row>4</xdr:row>
      <xdr:rowOff>175847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598F59-BBF6-4D3E-BFCB-9CDB5EE5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2718-D7C2-45BF-A783-B6DBFC24A5B3}">
  <sheetPr>
    <tabColor theme="6" tint="0.39997558519241921"/>
  </sheetPr>
  <dimension ref="B1:AW84"/>
  <sheetViews>
    <sheetView showGridLines="0" showZero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E2" sqref="E2"/>
    </sheetView>
  </sheetViews>
  <sheetFormatPr defaultColWidth="5.7109375" defaultRowHeight="15" x14ac:dyDescent="0.25"/>
  <cols>
    <col min="1" max="1" width="0.5703125" customWidth="1"/>
    <col min="2" max="2" width="38.42578125" customWidth="1"/>
    <col min="3" max="3" width="35.140625" customWidth="1"/>
    <col min="4" max="4" width="26.710937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8" customWidth="1"/>
    <col min="12" max="12" width="13.140625" customWidth="1"/>
    <col min="13" max="13" width="7.7109375" customWidth="1"/>
    <col min="14" max="14" width="5.42578125" customWidth="1"/>
    <col min="15" max="15" width="11.28515625" customWidth="1"/>
    <col min="16" max="16" width="3.140625" style="27" customWidth="1"/>
    <col min="17" max="19" width="10.42578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1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9" ht="17.25" customHeight="1" thickBot="1" x14ac:dyDescent="0.3">
      <c r="B1" s="679" t="s">
        <v>654</v>
      </c>
      <c r="C1" s="679"/>
      <c r="D1" s="679"/>
      <c r="E1" s="700" t="s">
        <v>590</v>
      </c>
      <c r="F1" s="701"/>
      <c r="G1" s="313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60"/>
      <c r="O1" s="660"/>
      <c r="P1" s="640"/>
      <c r="Q1" s="640"/>
      <c r="R1" s="640"/>
      <c r="S1" s="640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9" s="3" customFormat="1" ht="17.25" customHeight="1" thickBot="1" x14ac:dyDescent="0.3">
      <c r="B2" s="679"/>
      <c r="C2" s="679"/>
      <c r="D2" s="679"/>
      <c r="E2" s="664"/>
      <c r="F2" s="596" t="s">
        <v>201</v>
      </c>
      <c r="G2" s="716"/>
      <c r="H2" s="717"/>
      <c r="I2" s="717"/>
      <c r="J2" s="717"/>
      <c r="K2" s="717"/>
      <c r="L2" s="717"/>
      <c r="M2" s="718"/>
      <c r="N2" s="727"/>
      <c r="O2" s="727"/>
      <c r="P2" s="708"/>
      <c r="Q2" s="708"/>
      <c r="R2" s="641"/>
      <c r="S2" s="641"/>
      <c r="U2" s="1"/>
      <c r="V2" s="1"/>
      <c r="W2" s="1"/>
      <c r="AE2" s="112"/>
      <c r="AF2" s="112"/>
      <c r="AG2" s="112"/>
      <c r="AH2" s="112"/>
      <c r="AI2" s="112"/>
      <c r="AJ2" s="280"/>
      <c r="AK2" s="112"/>
      <c r="AL2" s="112"/>
    </row>
    <row r="3" spans="2:49" s="1" customFormat="1" ht="15" customHeight="1" thickBot="1" x14ac:dyDescent="0.3">
      <c r="B3" s="675" t="s">
        <v>656</v>
      </c>
      <c r="C3" s="675"/>
      <c r="D3" s="675"/>
      <c r="E3" s="593"/>
      <c r="F3" s="592" t="s">
        <v>202</v>
      </c>
      <c r="G3" s="719"/>
      <c r="H3" s="720"/>
      <c r="I3" s="720"/>
      <c r="J3" s="720"/>
      <c r="K3" s="720"/>
      <c r="L3" s="720"/>
      <c r="M3" s="721"/>
      <c r="N3" s="728"/>
      <c r="O3" s="728"/>
      <c r="P3" s="708"/>
      <c r="Q3" s="708"/>
      <c r="R3" s="641"/>
      <c r="S3" s="641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9" s="1" customFormat="1" ht="15" customHeight="1" thickBot="1" x14ac:dyDescent="0.3">
      <c r="B4" s="676" t="s">
        <v>662</v>
      </c>
      <c r="C4" s="676"/>
      <c r="D4" s="676"/>
      <c r="E4" s="594"/>
      <c r="F4" s="592" t="s">
        <v>308</v>
      </c>
      <c r="G4" s="662" t="s">
        <v>210</v>
      </c>
      <c r="H4" s="661" t="s">
        <v>309</v>
      </c>
      <c r="I4" s="599"/>
      <c r="J4" s="599"/>
      <c r="K4" s="599"/>
      <c r="L4" s="599"/>
      <c r="M4" s="642"/>
      <c r="N4" s="642"/>
      <c r="O4" s="641"/>
      <c r="P4" s="641"/>
      <c r="Q4" s="641"/>
      <c r="R4" s="641"/>
      <c r="S4" s="641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9" s="1" customFormat="1" ht="15" customHeight="1" thickBot="1" x14ac:dyDescent="0.3">
      <c r="B5" s="676" t="s">
        <v>658</v>
      </c>
      <c r="C5" s="677"/>
      <c r="D5" s="231"/>
      <c r="E5" s="594"/>
      <c r="F5" s="595" t="s">
        <v>203</v>
      </c>
      <c r="G5" s="663">
        <v>2024</v>
      </c>
      <c r="H5" s="645" t="s">
        <v>237</v>
      </c>
      <c r="I5" s="599"/>
      <c r="J5" s="599"/>
      <c r="K5" s="599"/>
      <c r="L5" s="599"/>
      <c r="M5" s="642"/>
      <c r="N5" s="642"/>
      <c r="O5" s="641"/>
      <c r="P5" s="641"/>
      <c r="Q5" s="641"/>
      <c r="R5" s="641"/>
      <c r="S5" s="641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9" ht="15" customHeight="1" x14ac:dyDescent="0.25">
      <c r="B6" s="678" t="s">
        <v>659</v>
      </c>
      <c r="C6" s="678"/>
      <c r="D6" s="678"/>
      <c r="E6" s="653" t="s">
        <v>176</v>
      </c>
      <c r="F6" s="654">
        <f>D80-D5+0.000000000001</f>
        <v>9.9999999999999998E-13</v>
      </c>
      <c r="G6" s="655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6"/>
      <c r="I6" s="657"/>
      <c r="J6" s="658"/>
      <c r="K6" s="658"/>
      <c r="L6" s="658"/>
      <c r="M6" s="659"/>
      <c r="N6" s="643"/>
      <c r="O6" s="643"/>
      <c r="P6" s="643"/>
      <c r="Q6" s="644"/>
      <c r="R6" s="644"/>
      <c r="S6" s="644"/>
      <c r="U6" s="697"/>
      <c r="V6" s="697"/>
      <c r="W6" s="697"/>
      <c r="X6" s="697"/>
      <c r="Y6" s="697"/>
      <c r="Z6" s="697"/>
      <c r="AA6" s="697"/>
      <c r="AB6" s="697"/>
      <c r="AC6" s="697"/>
      <c r="AE6" s="709"/>
      <c r="AF6" s="709"/>
      <c r="AG6" s="709"/>
      <c r="AH6" s="709"/>
      <c r="AI6" s="709"/>
      <c r="AJ6" s="697"/>
      <c r="AK6" s="697"/>
      <c r="AL6" s="697"/>
      <c r="AM6" s="697"/>
      <c r="AN6" s="697"/>
      <c r="AP6" s="697"/>
      <c r="AQ6" s="697"/>
      <c r="AR6" s="46"/>
    </row>
    <row r="7" spans="2:49" ht="23.1" customHeight="1" x14ac:dyDescent="0.25">
      <c r="B7" s="691" t="s">
        <v>660</v>
      </c>
      <c r="C7" s="691"/>
      <c r="D7" s="691"/>
      <c r="E7" s="692" t="s">
        <v>208</v>
      </c>
      <c r="F7" s="693"/>
      <c r="G7" s="693"/>
      <c r="H7" s="703" t="s">
        <v>171</v>
      </c>
      <c r="I7" s="704"/>
      <c r="J7" s="704"/>
      <c r="K7" s="704"/>
      <c r="L7" s="704"/>
      <c r="M7" s="704"/>
      <c r="N7" s="705"/>
      <c r="O7" s="705"/>
      <c r="P7" s="706"/>
      <c r="Q7" s="695" t="s">
        <v>320</v>
      </c>
      <c r="R7" s="695"/>
      <c r="S7" s="695"/>
      <c r="U7" s="695" t="s">
        <v>321</v>
      </c>
      <c r="V7" s="695"/>
      <c r="W7" s="695"/>
      <c r="X7" s="695"/>
      <c r="Y7" s="695"/>
      <c r="Z7" s="695"/>
      <c r="AA7" s="695"/>
      <c r="AB7" s="695"/>
      <c r="AC7" s="695"/>
      <c r="AE7" s="680" t="s">
        <v>154</v>
      </c>
      <c r="AF7" s="680"/>
      <c r="AG7" s="680"/>
      <c r="AH7" s="680"/>
      <c r="AI7" s="680"/>
      <c r="AJ7" s="694" t="s">
        <v>155</v>
      </c>
      <c r="AK7" s="694"/>
      <c r="AL7" s="694"/>
      <c r="AM7" s="694"/>
      <c r="AN7" s="694"/>
      <c r="AP7" s="715" t="s">
        <v>270</v>
      </c>
      <c r="AQ7" s="715"/>
      <c r="AR7" s="46"/>
    </row>
    <row r="8" spans="2:49" ht="23.1" customHeight="1" x14ac:dyDescent="0.25">
      <c r="B8" s="691"/>
      <c r="C8" s="691"/>
      <c r="D8" s="691"/>
      <c r="E8" s="725" t="s">
        <v>172</v>
      </c>
      <c r="F8" s="726"/>
      <c r="G8" s="726"/>
      <c r="H8" s="694" t="s">
        <v>175</v>
      </c>
      <c r="I8" s="694"/>
      <c r="J8" s="694"/>
      <c r="K8" s="694"/>
      <c r="L8" s="694"/>
      <c r="M8" s="694"/>
      <c r="N8" s="694"/>
      <c r="O8" s="699" t="s">
        <v>644</v>
      </c>
      <c r="P8" s="702" t="s">
        <v>174</v>
      </c>
      <c r="Q8" s="710" t="s">
        <v>322</v>
      </c>
      <c r="R8" s="711"/>
      <c r="S8" s="712"/>
      <c r="U8" s="722" t="s">
        <v>154</v>
      </c>
      <c r="V8" s="723"/>
      <c r="W8" s="724"/>
      <c r="X8" s="722" t="s">
        <v>155</v>
      </c>
      <c r="Y8" s="723"/>
      <c r="Z8" s="724"/>
      <c r="AA8" s="722" t="s">
        <v>179</v>
      </c>
      <c r="AB8" s="723"/>
      <c r="AC8" s="724"/>
      <c r="AE8" s="680" t="s">
        <v>133</v>
      </c>
      <c r="AF8" s="680" t="s">
        <v>60</v>
      </c>
      <c r="AG8" s="698" t="s">
        <v>326</v>
      </c>
      <c r="AH8" s="698"/>
      <c r="AI8" s="698"/>
      <c r="AJ8" s="699" t="s">
        <v>133</v>
      </c>
      <c r="AK8" s="707" t="s">
        <v>60</v>
      </c>
      <c r="AL8" s="694" t="s">
        <v>156</v>
      </c>
      <c r="AM8" s="694"/>
      <c r="AN8" s="694"/>
      <c r="AP8" s="714"/>
      <c r="AQ8" s="714"/>
      <c r="AR8" s="46"/>
    </row>
    <row r="9" spans="2:49" s="1" customFormat="1" ht="51.75" customHeight="1" x14ac:dyDescent="0.25">
      <c r="B9" s="689" t="s">
        <v>310</v>
      </c>
      <c r="C9" s="690"/>
      <c r="D9" s="232" t="s">
        <v>327</v>
      </c>
      <c r="E9" s="228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6" t="s">
        <v>195</v>
      </c>
      <c r="K9" s="696"/>
      <c r="L9" s="47" t="s">
        <v>196</v>
      </c>
      <c r="M9" s="696" t="s">
        <v>197</v>
      </c>
      <c r="N9" s="696"/>
      <c r="O9" s="699"/>
      <c r="P9" s="702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268</v>
      </c>
      <c r="Z9" s="233" t="s">
        <v>269</v>
      </c>
      <c r="AA9" s="233" t="s">
        <v>267</v>
      </c>
      <c r="AB9" s="233" t="s">
        <v>268</v>
      </c>
      <c r="AC9" s="233" t="s">
        <v>269</v>
      </c>
      <c r="AE9" s="680"/>
      <c r="AF9" s="680"/>
      <c r="AG9" s="36" t="s">
        <v>0</v>
      </c>
      <c r="AH9" s="36" t="s">
        <v>59</v>
      </c>
      <c r="AI9" s="36" t="s">
        <v>61</v>
      </c>
      <c r="AJ9" s="699"/>
      <c r="AK9" s="707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9" s="5" customFormat="1" ht="14.25" customHeight="1" x14ac:dyDescent="0.25">
      <c r="B10" s="68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  <c r="AU10" s="215">
        <f>Q10-Plod.25!Q10</f>
        <v>0</v>
      </c>
      <c r="AV10" s="215">
        <f>R10-Plod.25!R10</f>
        <v>0</v>
      </c>
      <c r="AW10" s="215">
        <f>S10-Plod.25!S10</f>
        <v>0</v>
      </c>
    </row>
    <row r="11" spans="2:49" s="5" customFormat="1" ht="14.25" customHeight="1" x14ac:dyDescent="0.25">
      <c r="B11" s="68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A74" si="15">U11+X11</f>
        <v>0</v>
      </c>
      <c r="AB11" s="234">
        <f t="shared" ref="AB11:AB74" si="16">V11+Y11</f>
        <v>0</v>
      </c>
      <c r="AC11" s="234">
        <f t="shared" ref="AC11:AC74" si="17">W11+Z11</f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  <c r="AU11" s="215">
        <f>Q11-Plod.25!Q11</f>
        <v>0</v>
      </c>
      <c r="AV11" s="215">
        <f>R11-Plod.25!R11</f>
        <v>0</v>
      </c>
      <c r="AW11" s="215">
        <f>S11-Plod.25!S11</f>
        <v>0</v>
      </c>
    </row>
    <row r="12" spans="2:49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6"/>
        <v>0</v>
      </c>
      <c r="AC12" s="234">
        <f t="shared" si="17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  <c r="AU12" s="215">
        <f>Q12-Plod.25!Q12</f>
        <v>0</v>
      </c>
      <c r="AV12" s="215">
        <f>R12-Plod.25!R12</f>
        <v>0</v>
      </c>
      <c r="AW12" s="215">
        <f>S12-Plod.25!S12</f>
        <v>0</v>
      </c>
    </row>
    <row r="13" spans="2:49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6"/>
        <v>0</v>
      </c>
      <c r="AC13" s="234">
        <f t="shared" si="17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  <c r="AU13" s="215">
        <f>Q13-Plod.25!Q13</f>
        <v>0</v>
      </c>
      <c r="AV13" s="215">
        <f>R13-Plod.25!R13</f>
        <v>0</v>
      </c>
      <c r="AW13" s="215">
        <f>S13-Plod.25!S13</f>
        <v>0</v>
      </c>
    </row>
    <row r="14" spans="2:49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6"/>
        <v>0</v>
      </c>
      <c r="AC14" s="234">
        <f t="shared" si="17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  <c r="AU14" s="215">
        <f>Q14-Plod.25!Q14</f>
        <v>0</v>
      </c>
      <c r="AV14" s="215">
        <f>R14-Plod.25!R14</f>
        <v>0</v>
      </c>
      <c r="AW14" s="215">
        <f>S14-Plod.25!S14</f>
        <v>0</v>
      </c>
    </row>
    <row r="15" spans="2:49" s="5" customFormat="1" ht="14.25" customHeight="1" x14ac:dyDescent="0.25">
      <c r="B15" s="68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6"/>
        <v>0</v>
      </c>
      <c r="AC15" s="234">
        <f t="shared" si="17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  <c r="AU15" s="215">
        <f>Q15-Plod.25!Q15</f>
        <v>0</v>
      </c>
      <c r="AV15" s="215">
        <f>R15-Plod.25!R15</f>
        <v>0</v>
      </c>
      <c r="AW15" s="215">
        <f>S15-Plod.25!S15</f>
        <v>0</v>
      </c>
    </row>
    <row r="16" spans="2:49" s="5" customFormat="1" ht="14.25" customHeight="1" x14ac:dyDescent="0.25">
      <c r="B16" s="68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6"/>
        <v>0</v>
      </c>
      <c r="AC16" s="234">
        <f t="shared" si="17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  <c r="AU16" s="215">
        <f>Q16-Plod.25!Q16</f>
        <v>0</v>
      </c>
      <c r="AV16" s="215">
        <f>R16-Plod.25!R16</f>
        <v>0</v>
      </c>
      <c r="AW16" s="215">
        <f>S16-Plod.25!S16</f>
        <v>0</v>
      </c>
    </row>
    <row r="17" spans="2:49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6"/>
        <v>0</v>
      </c>
      <c r="AC17" s="234">
        <f t="shared" si="17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  <c r="AU17" s="215">
        <f>Q17-Plod.25!Q17</f>
        <v>0</v>
      </c>
      <c r="AV17" s="215">
        <f>R17-Plod.25!R17</f>
        <v>0</v>
      </c>
      <c r="AW17" s="215">
        <f>S17-Plod.25!S17</f>
        <v>0</v>
      </c>
    </row>
    <row r="18" spans="2:49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33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6"/>
        <v>0</v>
      </c>
      <c r="AC18" s="234">
        <f t="shared" si="17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  <c r="AU18" s="215">
        <f>Q18-Plod.25!Q18</f>
        <v>0</v>
      </c>
      <c r="AV18" s="215">
        <f>R18-Plod.25!R18</f>
        <v>0</v>
      </c>
      <c r="AW18" s="215">
        <f>S18-Plod.25!S18</f>
        <v>0</v>
      </c>
    </row>
    <row r="19" spans="2:49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33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6"/>
        <v>0</v>
      </c>
      <c r="AC19" s="234">
        <f t="shared" si="17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  <c r="AU19" s="215">
        <f>Q19-Plod.25!Q19</f>
        <v>0</v>
      </c>
      <c r="AV19" s="215">
        <f>R19-Plod.25!R19</f>
        <v>0</v>
      </c>
      <c r="AW19" s="215">
        <f>S19-Plod.25!S19</f>
        <v>0</v>
      </c>
    </row>
    <row r="20" spans="2:49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8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6"/>
        <v>0</v>
      </c>
      <c r="AC20" s="234">
        <f t="shared" si="17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  <c r="AU20" s="215">
        <f>Q20-Plod.25!Q20</f>
        <v>0</v>
      </c>
      <c r="AV20" s="215">
        <f>R20-Plod.25!R20</f>
        <v>0</v>
      </c>
      <c r="AW20" s="215">
        <f>S20-Plod.25!S20</f>
        <v>0</v>
      </c>
    </row>
    <row r="21" spans="2:49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8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6"/>
        <v>0</v>
      </c>
      <c r="AC21" s="234">
        <f t="shared" si="17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  <c r="AU21" s="215">
        <f>Q21-Plod.25!Q21</f>
        <v>0</v>
      </c>
      <c r="AV21" s="215">
        <f>R21-Plod.25!R21</f>
        <v>0</v>
      </c>
      <c r="AW21" s="215">
        <f>S21-Plod.25!S21</f>
        <v>0</v>
      </c>
    </row>
    <row r="22" spans="2:49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8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6"/>
        <v>0</v>
      </c>
      <c r="AC22" s="234">
        <f t="shared" si="17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  <c r="AU22" s="215">
        <f>Q22-Plod.25!Q22</f>
        <v>0</v>
      </c>
      <c r="AV22" s="215">
        <f>R22-Plod.25!R22</f>
        <v>0</v>
      </c>
      <c r="AW22" s="215">
        <f>S22-Plod.25!S22</f>
        <v>0</v>
      </c>
    </row>
    <row r="23" spans="2:49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8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6"/>
        <v>0</v>
      </c>
      <c r="AC23" s="234">
        <f t="shared" si="17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  <c r="AU23" s="215">
        <f>Q23-Plod.25!Q23</f>
        <v>0</v>
      </c>
      <c r="AV23" s="215">
        <f>R23-Plod.25!R23</f>
        <v>0</v>
      </c>
      <c r="AW23" s="215">
        <f>S23-Plod.25!S23</f>
        <v>0</v>
      </c>
    </row>
    <row r="24" spans="2:49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8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6"/>
        <v>0</v>
      </c>
      <c r="AC24" s="234">
        <f t="shared" si="17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  <c r="AU24" s="215">
        <f>Q24-Plod.25!Q24</f>
        <v>0</v>
      </c>
      <c r="AV24" s="215">
        <f>R24-Plod.25!R24</f>
        <v>0</v>
      </c>
      <c r="AW24" s="215">
        <f>S24-Plod.25!S24</f>
        <v>0</v>
      </c>
    </row>
    <row r="25" spans="2:49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8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6"/>
        <v>0</v>
      </c>
      <c r="AC25" s="234">
        <f t="shared" si="17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  <c r="AU25" s="215">
        <f>Q25-Plod.25!Q25</f>
        <v>0</v>
      </c>
      <c r="AV25" s="215">
        <f>R25-Plod.25!R25</f>
        <v>0</v>
      </c>
      <c r="AW25" s="215">
        <f>S25-Plod.25!S25</f>
        <v>0</v>
      </c>
    </row>
    <row r="26" spans="2:49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8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6"/>
        <v>0</v>
      </c>
      <c r="AC26" s="234">
        <f t="shared" si="17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  <c r="AU26" s="215">
        <f>Q26-Plod.25!Q26</f>
        <v>0</v>
      </c>
      <c r="AV26" s="215">
        <f>R26-Plod.25!R26</f>
        <v>0</v>
      </c>
      <c r="AW26" s="215">
        <f>S26-Plod.25!S26</f>
        <v>0</v>
      </c>
    </row>
    <row r="27" spans="2:49" s="5" customFormat="1" ht="14.25" customHeight="1" x14ac:dyDescent="0.25">
      <c r="B27" s="68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6"/>
        <v>0</v>
      </c>
      <c r="AC27" s="234">
        <f t="shared" si="17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  <c r="AU27" s="215">
        <f>Q27-Plod.25!Q27</f>
        <v>0</v>
      </c>
      <c r="AV27" s="215">
        <f>R27-Plod.25!R27</f>
        <v>0</v>
      </c>
      <c r="AW27" s="215">
        <f>S27-Plod.25!S27</f>
        <v>0</v>
      </c>
    </row>
    <row r="28" spans="2:49" s="5" customFormat="1" ht="14.25" customHeight="1" x14ac:dyDescent="0.25">
      <c r="B28" s="68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6"/>
        <v>0</v>
      </c>
      <c r="AC28" s="234">
        <f t="shared" si="17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  <c r="AU28" s="215">
        <f>Q28-Plod.25!Q28</f>
        <v>0</v>
      </c>
      <c r="AV28" s="215">
        <f>R28-Plod.25!R28</f>
        <v>0</v>
      </c>
      <c r="AW28" s="215">
        <f>S28-Plod.25!S28</f>
        <v>0</v>
      </c>
    </row>
    <row r="29" spans="2:49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9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20">D29-H29</f>
        <v>0</v>
      </c>
      <c r="P29" s="56" t="str">
        <f t="shared" ref="P29:P40" si="21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6"/>
        <v>0</v>
      </c>
      <c r="AC29" s="234">
        <f t="shared" si="17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  <c r="AU29" s="215">
        <f>Q29-Plod.25!Q29</f>
        <v>0</v>
      </c>
      <c r="AV29" s="215">
        <f>R29-Plod.25!R29</f>
        <v>0</v>
      </c>
      <c r="AW29" s="215">
        <f>S29-Plod.25!S29</f>
        <v>0</v>
      </c>
    </row>
    <row r="30" spans="2:49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9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56" si="22">IF(H30=0,"",IF(F30+G30=0,"",IF(L30=0,0,IF(G30=0,(L30/H30)/F30,(L30/H30)/G30))))</f>
        <v/>
      </c>
      <c r="O30" s="55">
        <f t="shared" si="20"/>
        <v>0</v>
      </c>
      <c r="P30" s="56" t="str">
        <f t="shared" si="21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6"/>
        <v>0</v>
      </c>
      <c r="AC30" s="234">
        <f t="shared" si="17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  <c r="AU30" s="215">
        <f>Q30-Plod.25!Q30</f>
        <v>0</v>
      </c>
      <c r="AV30" s="215">
        <f>R30-Plod.25!R30</f>
        <v>0</v>
      </c>
      <c r="AW30" s="215">
        <f>S30-Plod.25!S30</f>
        <v>0</v>
      </c>
    </row>
    <row r="31" spans="2:49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9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2"/>
        <v/>
      </c>
      <c r="O31" s="55">
        <f t="shared" si="20"/>
        <v>0</v>
      </c>
      <c r="P31" s="56" t="str">
        <f t="shared" si="21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6"/>
        <v>0</v>
      </c>
      <c r="AC31" s="234">
        <f t="shared" si="17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  <c r="AU31" s="215">
        <f>Q31-Plod.25!Q31</f>
        <v>0</v>
      </c>
      <c r="AV31" s="215">
        <f>R31-Plod.25!R31</f>
        <v>0</v>
      </c>
      <c r="AW31" s="215">
        <f>S31-Plod.25!S31</f>
        <v>0</v>
      </c>
    </row>
    <row r="32" spans="2:49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9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2"/>
        <v/>
      </c>
      <c r="O32" s="55">
        <f t="shared" si="20"/>
        <v>0</v>
      </c>
      <c r="P32" s="56" t="str">
        <f t="shared" si="21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6"/>
        <v>0</v>
      </c>
      <c r="AC32" s="234">
        <f t="shared" si="17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  <c r="AU32" s="215">
        <f>Q32-Plod.25!Q32</f>
        <v>0</v>
      </c>
      <c r="AV32" s="215">
        <f>R32-Plod.25!R32</f>
        <v>0</v>
      </c>
      <c r="AW32" s="215">
        <f>S32-Plod.25!S32</f>
        <v>0</v>
      </c>
    </row>
    <row r="33" spans="2:49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9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2"/>
        <v/>
      </c>
      <c r="O33" s="55">
        <f t="shared" si="20"/>
        <v>0</v>
      </c>
      <c r="P33" s="56" t="str">
        <f t="shared" si="21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6"/>
        <v>0</v>
      </c>
      <c r="AC33" s="234">
        <f t="shared" si="17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  <c r="AU33" s="215">
        <f>Q33-Plod.25!Q33</f>
        <v>0</v>
      </c>
      <c r="AV33" s="215">
        <f>R33-Plod.25!R33</f>
        <v>0</v>
      </c>
      <c r="AW33" s="215">
        <f>S33-Plod.25!S33</f>
        <v>0</v>
      </c>
    </row>
    <row r="34" spans="2:49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9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2"/>
        <v/>
      </c>
      <c r="O34" s="55">
        <f t="shared" si="20"/>
        <v>0</v>
      </c>
      <c r="P34" s="56" t="str">
        <f t="shared" si="21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6"/>
        <v>0</v>
      </c>
      <c r="AC34" s="234">
        <f t="shared" si="17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  <c r="AU34" s="215">
        <f>Q34-Plod.25!Q34</f>
        <v>0</v>
      </c>
      <c r="AV34" s="215">
        <f>R34-Plod.25!R34</f>
        <v>0</v>
      </c>
      <c r="AW34" s="215">
        <f>S34-Plod.25!S34</f>
        <v>0</v>
      </c>
    </row>
    <row r="35" spans="2:49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9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2"/>
        <v/>
      </c>
      <c r="O35" s="55">
        <f t="shared" si="20"/>
        <v>0</v>
      </c>
      <c r="P35" s="56" t="str">
        <f t="shared" si="21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6"/>
        <v>0</v>
      </c>
      <c r="AC35" s="234">
        <f t="shared" si="17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  <c r="AU35" s="215">
        <f>Q35-Plod.25!Q35</f>
        <v>0</v>
      </c>
      <c r="AV35" s="215">
        <f>R35-Plod.25!R35</f>
        <v>0</v>
      </c>
      <c r="AW35" s="215">
        <f>S35-Plod.25!S35</f>
        <v>0</v>
      </c>
    </row>
    <row r="36" spans="2:49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9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2"/>
        <v/>
      </c>
      <c r="O36" s="55">
        <f t="shared" si="20"/>
        <v>0</v>
      </c>
      <c r="P36" s="56" t="str">
        <f t="shared" si="21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6"/>
        <v>0</v>
      </c>
      <c r="AC36" s="234">
        <f t="shared" si="17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  <c r="AU36" s="215">
        <f>Q36-Plod.25!Q36</f>
        <v>0</v>
      </c>
      <c r="AV36" s="215">
        <f>R36-Plod.25!R36</f>
        <v>0</v>
      </c>
      <c r="AW36" s="215">
        <f>S36-Plod.25!S36</f>
        <v>0</v>
      </c>
    </row>
    <row r="37" spans="2:49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9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2"/>
        <v/>
      </c>
      <c r="O37" s="55">
        <f t="shared" si="20"/>
        <v>0</v>
      </c>
      <c r="P37" s="56" t="str">
        <f t="shared" si="21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6"/>
        <v>0</v>
      </c>
      <c r="AC37" s="234">
        <f t="shared" si="17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  <c r="AU37" s="215">
        <f>Q37-Plod.25!Q37</f>
        <v>0</v>
      </c>
      <c r="AV37" s="215">
        <f>R37-Plod.25!R37</f>
        <v>0</v>
      </c>
      <c r="AW37" s="215">
        <f>S37-Plod.25!S37</f>
        <v>0</v>
      </c>
    </row>
    <row r="38" spans="2:49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9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2"/>
        <v/>
      </c>
      <c r="O38" s="55">
        <f t="shared" si="20"/>
        <v>0</v>
      </c>
      <c r="P38" s="56" t="str">
        <f t="shared" si="21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6"/>
        <v>0</v>
      </c>
      <c r="AC38" s="234">
        <f t="shared" si="17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  <c r="AU38" s="215">
        <f>Q38-Plod.25!Q38</f>
        <v>0</v>
      </c>
      <c r="AV38" s="215">
        <f>R38-Plod.25!R38</f>
        <v>0</v>
      </c>
      <c r="AW38" s="215">
        <f>S38-Plod.25!S38</f>
        <v>0</v>
      </c>
    </row>
    <row r="39" spans="2:49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9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2"/>
        <v/>
      </c>
      <c r="O39" s="55">
        <f t="shared" si="20"/>
        <v>0</v>
      </c>
      <c r="P39" s="56" t="str">
        <f t="shared" si="21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6"/>
        <v>0</v>
      </c>
      <c r="AC39" s="234">
        <f t="shared" si="17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  <c r="AU39" s="215">
        <f>Q39-Plod.25!Q39</f>
        <v>0</v>
      </c>
      <c r="AV39" s="215">
        <f>R39-Plod.25!R39</f>
        <v>0</v>
      </c>
      <c r="AW39" s="215">
        <f>S39-Plod.25!S39</f>
        <v>0</v>
      </c>
    </row>
    <row r="40" spans="2:49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9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2"/>
        <v/>
      </c>
      <c r="O40" s="55">
        <f t="shared" si="20"/>
        <v>0</v>
      </c>
      <c r="P40" s="56" t="str">
        <f t="shared" si="21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6"/>
        <v>0</v>
      </c>
      <c r="AC40" s="234">
        <f t="shared" si="17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  <c r="AU40" s="215">
        <f>Q40-Plod.25!Q40</f>
        <v>0</v>
      </c>
      <c r="AV40" s="215">
        <f>R40-Plod.25!R40</f>
        <v>0</v>
      </c>
      <c r="AW40" s="215">
        <f>S40-Plod.25!S40</f>
        <v>0</v>
      </c>
    </row>
    <row r="41" spans="2:49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 t="str">
        <f t="shared" si="22"/>
        <v/>
      </c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3">IF($G41=0,$F41*$D41*AG41,$G41*$D41*AG41)</f>
        <v>0</v>
      </c>
      <c r="V41" s="234">
        <f t="shared" ref="V41:V71" si="24">IF($G41=0,$F41*$D41*AH41,$G41*$D41*AH41)</f>
        <v>0</v>
      </c>
      <c r="W41" s="234">
        <f t="shared" ref="W41:W71" si="25">IF($G41=0,$F41*$D41*AI41,$G41*$D41*AI41)</f>
        <v>0</v>
      </c>
      <c r="X41" s="234">
        <f t="shared" ref="X41:X71" si="26">IF($L41=0,$I41*AL41,$L41*AL41)</f>
        <v>0</v>
      </c>
      <c r="Y41" s="234">
        <f t="shared" ref="Y41:Y71" si="27">IF($L41=0,$I41*AM41,$L41*AM41)</f>
        <v>0</v>
      </c>
      <c r="Z41" s="234">
        <f t="shared" ref="Z41:Z71" si="28">IF($L41=0,$I41*AN41,$L41*AN41)</f>
        <v>0</v>
      </c>
      <c r="AA41" s="234">
        <f t="shared" si="15"/>
        <v>0</v>
      </c>
      <c r="AB41" s="234">
        <f t="shared" si="16"/>
        <v>0</v>
      </c>
      <c r="AC41" s="234">
        <f t="shared" si="17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9">AND(H41=0,L41&gt;0)</f>
        <v>0</v>
      </c>
      <c r="AU41" s="215">
        <f>Q41-Plod.25!Q41</f>
        <v>0</v>
      </c>
      <c r="AV41" s="215">
        <f>R41-Plod.25!R41</f>
        <v>0</v>
      </c>
      <c r="AW41" s="215">
        <f>S41-Plod.25!S41</f>
        <v>0</v>
      </c>
    </row>
    <row r="42" spans="2:49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 t="str">
        <f t="shared" si="22"/>
        <v/>
      </c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3"/>
        <v>0</v>
      </c>
      <c r="V42" s="234">
        <f t="shared" si="24"/>
        <v>0</v>
      </c>
      <c r="W42" s="234">
        <f t="shared" si="25"/>
        <v>0</v>
      </c>
      <c r="X42" s="234">
        <f t="shared" si="26"/>
        <v>0</v>
      </c>
      <c r="Y42" s="234">
        <f t="shared" si="27"/>
        <v>0</v>
      </c>
      <c r="Z42" s="234">
        <f t="shared" si="28"/>
        <v>0</v>
      </c>
      <c r="AA42" s="234">
        <f t="shared" si="15"/>
        <v>0</v>
      </c>
      <c r="AB42" s="234">
        <f t="shared" si="16"/>
        <v>0</v>
      </c>
      <c r="AC42" s="234">
        <f t="shared" si="17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9"/>
        <v>0</v>
      </c>
      <c r="AU42" s="215">
        <f>Q42-Plod.25!Q42</f>
        <v>0</v>
      </c>
      <c r="AV42" s="215">
        <f>R42-Plod.25!R42</f>
        <v>0</v>
      </c>
      <c r="AW42" s="215">
        <f>S42-Plod.25!S42</f>
        <v>0</v>
      </c>
    </row>
    <row r="43" spans="2:49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 t="str">
        <f t="shared" si="22"/>
        <v/>
      </c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3"/>
        <v>0</v>
      </c>
      <c r="V43" s="234">
        <f t="shared" si="24"/>
        <v>0</v>
      </c>
      <c r="W43" s="234">
        <f t="shared" si="25"/>
        <v>0</v>
      </c>
      <c r="X43" s="234">
        <f t="shared" si="26"/>
        <v>0</v>
      </c>
      <c r="Y43" s="234">
        <f t="shared" si="27"/>
        <v>0</v>
      </c>
      <c r="Z43" s="234">
        <f t="shared" si="28"/>
        <v>0</v>
      </c>
      <c r="AA43" s="234">
        <f t="shared" si="15"/>
        <v>0</v>
      </c>
      <c r="AB43" s="234">
        <f t="shared" si="16"/>
        <v>0</v>
      </c>
      <c r="AC43" s="234">
        <f t="shared" si="17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9"/>
        <v>0</v>
      </c>
      <c r="AU43" s="215">
        <f>Q43-Plod.25!Q43</f>
        <v>0</v>
      </c>
      <c r="AV43" s="215">
        <f>R43-Plod.25!R43</f>
        <v>0</v>
      </c>
      <c r="AW43" s="215">
        <f>S43-Plod.25!S43</f>
        <v>0</v>
      </c>
    </row>
    <row r="44" spans="2:49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 t="str">
        <f t="shared" si="22"/>
        <v/>
      </c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3"/>
        <v>0</v>
      </c>
      <c r="V44" s="234">
        <f t="shared" si="24"/>
        <v>0</v>
      </c>
      <c r="W44" s="234">
        <f t="shared" si="25"/>
        <v>0</v>
      </c>
      <c r="X44" s="234">
        <f t="shared" si="26"/>
        <v>0</v>
      </c>
      <c r="Y44" s="234">
        <f t="shared" si="27"/>
        <v>0</v>
      </c>
      <c r="Z44" s="234">
        <f t="shared" si="28"/>
        <v>0</v>
      </c>
      <c r="AA44" s="234">
        <f t="shared" si="15"/>
        <v>0</v>
      </c>
      <c r="AB44" s="234">
        <f t="shared" si="16"/>
        <v>0</v>
      </c>
      <c r="AC44" s="234">
        <f t="shared" si="17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9"/>
        <v>0</v>
      </c>
      <c r="AU44" s="215">
        <f>Q44-Plod.25!Q44</f>
        <v>0</v>
      </c>
      <c r="AV44" s="215">
        <f>R44-Plod.25!R44</f>
        <v>0</v>
      </c>
      <c r="AW44" s="215">
        <f>S44-Plod.25!S44</f>
        <v>0</v>
      </c>
    </row>
    <row r="45" spans="2:49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 t="str">
        <f t="shared" si="22"/>
        <v/>
      </c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3"/>
        <v>0</v>
      </c>
      <c r="V45" s="234">
        <f t="shared" si="24"/>
        <v>0</v>
      </c>
      <c r="W45" s="234">
        <f t="shared" si="25"/>
        <v>0</v>
      </c>
      <c r="X45" s="234">
        <f t="shared" si="26"/>
        <v>0</v>
      </c>
      <c r="Y45" s="234">
        <f t="shared" si="27"/>
        <v>0</v>
      </c>
      <c r="Z45" s="234">
        <f t="shared" si="28"/>
        <v>0</v>
      </c>
      <c r="AA45" s="234">
        <f t="shared" si="15"/>
        <v>0</v>
      </c>
      <c r="AB45" s="234">
        <f t="shared" si="16"/>
        <v>0</v>
      </c>
      <c r="AC45" s="234">
        <f t="shared" si="17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9"/>
        <v>0</v>
      </c>
      <c r="AU45" s="215">
        <f>Q45-Plod.25!Q45</f>
        <v>0</v>
      </c>
      <c r="AV45" s="215">
        <f>R45-Plod.25!R45</f>
        <v>0</v>
      </c>
      <c r="AW45" s="215">
        <f>S45-Plod.25!S45</f>
        <v>0</v>
      </c>
    </row>
    <row r="46" spans="2:49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 t="str">
        <f t="shared" si="22"/>
        <v/>
      </c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3"/>
        <v>0</v>
      </c>
      <c r="V46" s="234">
        <f t="shared" si="24"/>
        <v>0</v>
      </c>
      <c r="W46" s="234">
        <f t="shared" si="25"/>
        <v>0</v>
      </c>
      <c r="X46" s="234">
        <f t="shared" si="26"/>
        <v>0</v>
      </c>
      <c r="Y46" s="234">
        <f t="shared" si="27"/>
        <v>0</v>
      </c>
      <c r="Z46" s="234">
        <f t="shared" si="28"/>
        <v>0</v>
      </c>
      <c r="AA46" s="234">
        <f t="shared" si="15"/>
        <v>0</v>
      </c>
      <c r="AB46" s="234">
        <f t="shared" si="16"/>
        <v>0</v>
      </c>
      <c r="AC46" s="234">
        <f t="shared" si="17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9"/>
        <v>0</v>
      </c>
      <c r="AU46" s="215">
        <f>Q46-Plod.25!Q46</f>
        <v>0</v>
      </c>
      <c r="AV46" s="215">
        <f>R46-Plod.25!R46</f>
        <v>0</v>
      </c>
      <c r="AW46" s="215">
        <f>S46-Plod.25!S46</f>
        <v>0</v>
      </c>
    </row>
    <row r="47" spans="2:49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 t="str">
        <f t="shared" si="22"/>
        <v/>
      </c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3"/>
        <v>0</v>
      </c>
      <c r="V47" s="234">
        <f t="shared" si="24"/>
        <v>0</v>
      </c>
      <c r="W47" s="234">
        <f t="shared" si="25"/>
        <v>0</v>
      </c>
      <c r="X47" s="234">
        <f t="shared" si="26"/>
        <v>0</v>
      </c>
      <c r="Y47" s="234">
        <f t="shared" si="27"/>
        <v>0</v>
      </c>
      <c r="Z47" s="234">
        <f t="shared" si="28"/>
        <v>0</v>
      </c>
      <c r="AA47" s="234">
        <f t="shared" si="15"/>
        <v>0</v>
      </c>
      <c r="AB47" s="234">
        <f t="shared" si="16"/>
        <v>0</v>
      </c>
      <c r="AC47" s="234">
        <f t="shared" si="17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9"/>
        <v>0</v>
      </c>
      <c r="AU47" s="215">
        <f>Q47-Plod.25!Q47</f>
        <v>0</v>
      </c>
      <c r="AV47" s="215">
        <f>R47-Plod.25!R47</f>
        <v>0</v>
      </c>
      <c r="AW47" s="215">
        <f>S47-Plod.25!S47</f>
        <v>0</v>
      </c>
    </row>
    <row r="48" spans="2:49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 t="str">
        <f t="shared" si="22"/>
        <v/>
      </c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3"/>
        <v>0</v>
      </c>
      <c r="V48" s="234">
        <f t="shared" si="24"/>
        <v>0</v>
      </c>
      <c r="W48" s="234">
        <f t="shared" si="25"/>
        <v>0</v>
      </c>
      <c r="X48" s="234">
        <f t="shared" si="26"/>
        <v>0</v>
      </c>
      <c r="Y48" s="234">
        <f t="shared" si="27"/>
        <v>0</v>
      </c>
      <c r="Z48" s="234">
        <f t="shared" si="28"/>
        <v>0</v>
      </c>
      <c r="AA48" s="234">
        <f t="shared" si="15"/>
        <v>0</v>
      </c>
      <c r="AB48" s="234">
        <f t="shared" si="16"/>
        <v>0</v>
      </c>
      <c r="AC48" s="234">
        <f t="shared" si="17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9"/>
        <v>0</v>
      </c>
      <c r="AU48" s="215">
        <f>Q48-Plod.25!Q48</f>
        <v>0</v>
      </c>
      <c r="AV48" s="215">
        <f>R48-Plod.25!R48</f>
        <v>0</v>
      </c>
      <c r="AW48" s="215">
        <f>S48-Plod.25!S48</f>
        <v>0</v>
      </c>
    </row>
    <row r="49" spans="2:49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 t="str">
        <f t="shared" si="22"/>
        <v/>
      </c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3"/>
        <v>0</v>
      </c>
      <c r="V49" s="234">
        <f t="shared" si="24"/>
        <v>0</v>
      </c>
      <c r="W49" s="234">
        <f t="shared" si="25"/>
        <v>0</v>
      </c>
      <c r="X49" s="234">
        <f t="shared" si="26"/>
        <v>0</v>
      </c>
      <c r="Y49" s="234">
        <f t="shared" si="27"/>
        <v>0</v>
      </c>
      <c r="Z49" s="234">
        <f t="shared" si="28"/>
        <v>0</v>
      </c>
      <c r="AA49" s="234">
        <f t="shared" si="15"/>
        <v>0</v>
      </c>
      <c r="AB49" s="234">
        <f t="shared" si="16"/>
        <v>0</v>
      </c>
      <c r="AC49" s="234">
        <f t="shared" si="17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9"/>
        <v>0</v>
      </c>
      <c r="AU49" s="215">
        <f>Q49-Plod.25!Q49</f>
        <v>0</v>
      </c>
      <c r="AV49" s="215">
        <f>R49-Plod.25!R49</f>
        <v>0</v>
      </c>
      <c r="AW49" s="215">
        <f>S49-Plod.25!S49</f>
        <v>0</v>
      </c>
    </row>
    <row r="50" spans="2:49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 t="str">
        <f t="shared" si="22"/>
        <v/>
      </c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3"/>
        <v>0</v>
      </c>
      <c r="V50" s="234">
        <f t="shared" si="24"/>
        <v>0</v>
      </c>
      <c r="W50" s="234">
        <f t="shared" si="25"/>
        <v>0</v>
      </c>
      <c r="X50" s="234">
        <f t="shared" si="26"/>
        <v>0</v>
      </c>
      <c r="Y50" s="234">
        <f t="shared" si="27"/>
        <v>0</v>
      </c>
      <c r="Z50" s="234">
        <f t="shared" si="28"/>
        <v>0</v>
      </c>
      <c r="AA50" s="234">
        <f t="shared" si="15"/>
        <v>0</v>
      </c>
      <c r="AB50" s="234">
        <f t="shared" si="16"/>
        <v>0</v>
      </c>
      <c r="AC50" s="234">
        <f t="shared" si="17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9"/>
        <v>0</v>
      </c>
      <c r="AU50" s="215">
        <f>Q50-Plod.25!Q50</f>
        <v>0</v>
      </c>
      <c r="AV50" s="215">
        <f>R50-Plod.25!R50</f>
        <v>0</v>
      </c>
      <c r="AW50" s="215">
        <f>S50-Plod.25!S50</f>
        <v>0</v>
      </c>
    </row>
    <row r="51" spans="2:49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 t="str">
        <f t="shared" si="22"/>
        <v/>
      </c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3"/>
        <v>0</v>
      </c>
      <c r="V51" s="234">
        <f t="shared" si="24"/>
        <v>0</v>
      </c>
      <c r="W51" s="234">
        <f t="shared" si="25"/>
        <v>0</v>
      </c>
      <c r="X51" s="234">
        <f t="shared" si="26"/>
        <v>0</v>
      </c>
      <c r="Y51" s="234">
        <f t="shared" si="27"/>
        <v>0</v>
      </c>
      <c r="Z51" s="234">
        <f t="shared" si="28"/>
        <v>0</v>
      </c>
      <c r="AA51" s="234">
        <f t="shared" si="15"/>
        <v>0</v>
      </c>
      <c r="AB51" s="234">
        <f t="shared" si="16"/>
        <v>0</v>
      </c>
      <c r="AC51" s="234">
        <f t="shared" si="17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9"/>
        <v>0</v>
      </c>
      <c r="AU51" s="215">
        <f>Q51-Plod.25!Q51</f>
        <v>0</v>
      </c>
      <c r="AV51" s="215">
        <f>R51-Plod.25!R51</f>
        <v>0</v>
      </c>
      <c r="AW51" s="215">
        <f>S51-Plod.25!S51</f>
        <v>0</v>
      </c>
    </row>
    <row r="52" spans="2:49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 t="str">
        <f t="shared" si="22"/>
        <v/>
      </c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3"/>
        <v>0</v>
      </c>
      <c r="V52" s="234">
        <f t="shared" si="24"/>
        <v>0</v>
      </c>
      <c r="W52" s="234">
        <f t="shared" si="25"/>
        <v>0</v>
      </c>
      <c r="X52" s="234">
        <f t="shared" si="26"/>
        <v>0</v>
      </c>
      <c r="Y52" s="234">
        <f t="shared" si="27"/>
        <v>0</v>
      </c>
      <c r="Z52" s="234">
        <f t="shared" si="28"/>
        <v>0</v>
      </c>
      <c r="AA52" s="234">
        <f t="shared" si="15"/>
        <v>0</v>
      </c>
      <c r="AB52" s="234">
        <f t="shared" si="16"/>
        <v>0</v>
      </c>
      <c r="AC52" s="234">
        <f t="shared" si="17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9"/>
        <v>0</v>
      </c>
      <c r="AU52" s="215">
        <f>Q52-Plod.25!Q52</f>
        <v>0</v>
      </c>
      <c r="AV52" s="215">
        <f>R52-Plod.25!R52</f>
        <v>0</v>
      </c>
      <c r="AW52" s="215">
        <f>S52-Plod.25!S52</f>
        <v>0</v>
      </c>
    </row>
    <row r="53" spans="2:49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 t="str">
        <f t="shared" si="22"/>
        <v/>
      </c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3"/>
        <v>0</v>
      </c>
      <c r="V53" s="234">
        <f t="shared" si="24"/>
        <v>0</v>
      </c>
      <c r="W53" s="234">
        <f t="shared" si="25"/>
        <v>0</v>
      </c>
      <c r="X53" s="234">
        <f t="shared" si="26"/>
        <v>0</v>
      </c>
      <c r="Y53" s="234">
        <f t="shared" si="27"/>
        <v>0</v>
      </c>
      <c r="Z53" s="234">
        <f t="shared" si="28"/>
        <v>0</v>
      </c>
      <c r="AA53" s="234">
        <f t="shared" si="15"/>
        <v>0</v>
      </c>
      <c r="AB53" s="234">
        <f t="shared" si="16"/>
        <v>0</v>
      </c>
      <c r="AC53" s="234">
        <f t="shared" si="17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9"/>
        <v>0</v>
      </c>
      <c r="AU53" s="215">
        <f>Q53-Plod.25!Q53</f>
        <v>0</v>
      </c>
      <c r="AV53" s="215">
        <f>R53-Plod.25!R53</f>
        <v>0</v>
      </c>
      <c r="AW53" s="215">
        <f>S53-Plod.25!S53</f>
        <v>0</v>
      </c>
    </row>
    <row r="54" spans="2:49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 t="str">
        <f t="shared" si="22"/>
        <v/>
      </c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3"/>
        <v>0</v>
      </c>
      <c r="V54" s="234">
        <f t="shared" si="24"/>
        <v>0</v>
      </c>
      <c r="W54" s="234">
        <f t="shared" si="25"/>
        <v>0</v>
      </c>
      <c r="X54" s="234">
        <f t="shared" si="26"/>
        <v>0</v>
      </c>
      <c r="Y54" s="234">
        <f t="shared" si="27"/>
        <v>0</v>
      </c>
      <c r="Z54" s="234">
        <f t="shared" si="28"/>
        <v>0</v>
      </c>
      <c r="AA54" s="234">
        <f t="shared" si="15"/>
        <v>0</v>
      </c>
      <c r="AB54" s="234">
        <f t="shared" si="16"/>
        <v>0</v>
      </c>
      <c r="AC54" s="234">
        <f t="shared" si="17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9"/>
        <v>0</v>
      </c>
      <c r="AU54" s="215">
        <f>Q54-Plod.25!Q54</f>
        <v>0</v>
      </c>
      <c r="AV54" s="215">
        <f>R54-Plod.25!R54</f>
        <v>0</v>
      </c>
      <c r="AW54" s="215">
        <f>S54-Plod.25!S54</f>
        <v>0</v>
      </c>
    </row>
    <row r="55" spans="2:49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 t="str">
        <f t="shared" si="22"/>
        <v/>
      </c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3"/>
        <v>0</v>
      </c>
      <c r="V55" s="234">
        <f t="shared" si="24"/>
        <v>0</v>
      </c>
      <c r="W55" s="234">
        <f t="shared" si="25"/>
        <v>0</v>
      </c>
      <c r="X55" s="234">
        <f t="shared" si="26"/>
        <v>0</v>
      </c>
      <c r="Y55" s="234">
        <f t="shared" si="27"/>
        <v>0</v>
      </c>
      <c r="Z55" s="234">
        <f t="shared" si="28"/>
        <v>0</v>
      </c>
      <c r="AA55" s="234">
        <f t="shared" si="15"/>
        <v>0</v>
      </c>
      <c r="AB55" s="234">
        <f t="shared" si="16"/>
        <v>0</v>
      </c>
      <c r="AC55" s="234">
        <f t="shared" si="17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9"/>
        <v>0</v>
      </c>
      <c r="AU55" s="215">
        <f>Q55-Plod.25!Q55</f>
        <v>0</v>
      </c>
      <c r="AV55" s="215">
        <f>R55-Plod.25!R55</f>
        <v>0</v>
      </c>
      <c r="AW55" s="215">
        <f>S55-Plod.25!S55</f>
        <v>0</v>
      </c>
    </row>
    <row r="56" spans="2:49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 t="str">
        <f t="shared" si="22"/>
        <v/>
      </c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3"/>
        <v>0</v>
      </c>
      <c r="V56" s="234">
        <f t="shared" si="24"/>
        <v>0</v>
      </c>
      <c r="W56" s="234">
        <f t="shared" si="25"/>
        <v>0</v>
      </c>
      <c r="X56" s="234">
        <f t="shared" si="26"/>
        <v>0</v>
      </c>
      <c r="Y56" s="234">
        <f t="shared" si="27"/>
        <v>0</v>
      </c>
      <c r="Z56" s="234">
        <f t="shared" si="28"/>
        <v>0</v>
      </c>
      <c r="AA56" s="234">
        <f t="shared" si="15"/>
        <v>0</v>
      </c>
      <c r="AB56" s="234">
        <f t="shared" si="16"/>
        <v>0</v>
      </c>
      <c r="AC56" s="234">
        <f t="shared" si="17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9"/>
        <v>0</v>
      </c>
      <c r="AU56" s="215">
        <f>Q56-Plod.25!Q56</f>
        <v>0</v>
      </c>
      <c r="AV56" s="215">
        <f>R56-Plod.25!R56</f>
        <v>0</v>
      </c>
      <c r="AW56" s="215">
        <f>S56-Plod.25!S56</f>
        <v>0</v>
      </c>
    </row>
    <row r="57" spans="2:49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3"/>
        <v>0</v>
      </c>
      <c r="V57" s="234">
        <f t="shared" si="24"/>
        <v>0</v>
      </c>
      <c r="W57" s="234">
        <f t="shared" si="25"/>
        <v>0</v>
      </c>
      <c r="X57" s="234">
        <f t="shared" si="26"/>
        <v>0</v>
      </c>
      <c r="Y57" s="234">
        <f t="shared" si="27"/>
        <v>0</v>
      </c>
      <c r="Z57" s="234">
        <f t="shared" si="28"/>
        <v>0</v>
      </c>
      <c r="AA57" s="234">
        <f t="shared" si="15"/>
        <v>0</v>
      </c>
      <c r="AB57" s="234">
        <f t="shared" si="16"/>
        <v>0</v>
      </c>
      <c r="AC57" s="234">
        <f t="shared" si="17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9"/>
        <v>0</v>
      </c>
      <c r="AU57" s="215">
        <f>Q57-Plod.25!Q57</f>
        <v>0</v>
      </c>
      <c r="AV57" s="215">
        <f>R57-Plod.25!R57</f>
        <v>0</v>
      </c>
      <c r="AW57" s="215">
        <f>S57-Plod.25!S57</f>
        <v>0</v>
      </c>
    </row>
    <row r="58" spans="2:49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3"/>
        <v>0</v>
      </c>
      <c r="V58" s="234">
        <f t="shared" si="24"/>
        <v>0</v>
      </c>
      <c r="W58" s="234">
        <f t="shared" si="25"/>
        <v>0</v>
      </c>
      <c r="X58" s="234">
        <f t="shared" si="26"/>
        <v>0</v>
      </c>
      <c r="Y58" s="234">
        <f t="shared" si="27"/>
        <v>0</v>
      </c>
      <c r="Z58" s="234">
        <f t="shared" si="28"/>
        <v>0</v>
      </c>
      <c r="AA58" s="234">
        <f t="shared" si="15"/>
        <v>0</v>
      </c>
      <c r="AB58" s="234">
        <f t="shared" si="16"/>
        <v>0</v>
      </c>
      <c r="AC58" s="234">
        <f t="shared" si="17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9"/>
        <v>0</v>
      </c>
      <c r="AU58" s="215">
        <f>Q58-Plod.25!Q58</f>
        <v>0</v>
      </c>
      <c r="AV58" s="215">
        <f>R58-Plod.25!R58</f>
        <v>0</v>
      </c>
      <c r="AW58" s="215">
        <f>S58-Plod.25!S58</f>
        <v>0</v>
      </c>
    </row>
    <row r="59" spans="2:49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3"/>
        <v>0</v>
      </c>
      <c r="V59" s="234">
        <f t="shared" si="24"/>
        <v>0</v>
      </c>
      <c r="W59" s="234">
        <f t="shared" si="25"/>
        <v>0</v>
      </c>
      <c r="X59" s="234">
        <f t="shared" si="26"/>
        <v>0</v>
      </c>
      <c r="Y59" s="234">
        <f t="shared" si="27"/>
        <v>0</v>
      </c>
      <c r="Z59" s="234">
        <f t="shared" si="28"/>
        <v>0</v>
      </c>
      <c r="AA59" s="234">
        <f t="shared" si="15"/>
        <v>0</v>
      </c>
      <c r="AB59" s="234">
        <f t="shared" si="16"/>
        <v>0</v>
      </c>
      <c r="AC59" s="234">
        <f t="shared" si="17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9"/>
        <v>0</v>
      </c>
      <c r="AU59" s="215">
        <f>Q59-Plod.25!Q59</f>
        <v>0</v>
      </c>
      <c r="AV59" s="215">
        <f>R59-Plod.25!R59</f>
        <v>0</v>
      </c>
      <c r="AW59" s="215">
        <f>S59-Plod.25!S59</f>
        <v>0</v>
      </c>
    </row>
    <row r="60" spans="2:49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3"/>
        <v>0</v>
      </c>
      <c r="V60" s="234">
        <f t="shared" si="24"/>
        <v>0</v>
      </c>
      <c r="W60" s="234">
        <f t="shared" si="25"/>
        <v>0</v>
      </c>
      <c r="X60" s="234">
        <f t="shared" si="26"/>
        <v>0</v>
      </c>
      <c r="Y60" s="234">
        <f t="shared" si="27"/>
        <v>0</v>
      </c>
      <c r="Z60" s="234">
        <f t="shared" si="28"/>
        <v>0</v>
      </c>
      <c r="AA60" s="234">
        <f t="shared" si="15"/>
        <v>0</v>
      </c>
      <c r="AB60" s="234">
        <f t="shared" si="16"/>
        <v>0</v>
      </c>
      <c r="AC60" s="234">
        <f t="shared" si="17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9"/>
        <v>0</v>
      </c>
      <c r="AU60" s="215">
        <f>Q60-Plod.25!Q60</f>
        <v>0</v>
      </c>
      <c r="AV60" s="215">
        <f>R60-Plod.25!R60</f>
        <v>0</v>
      </c>
      <c r="AW60" s="215">
        <f>S60-Plod.25!S60</f>
        <v>0</v>
      </c>
    </row>
    <row r="61" spans="2:49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3"/>
        <v>0</v>
      </c>
      <c r="V61" s="234">
        <f t="shared" si="24"/>
        <v>0</v>
      </c>
      <c r="W61" s="234">
        <f t="shared" si="25"/>
        <v>0</v>
      </c>
      <c r="X61" s="234">
        <f t="shared" si="26"/>
        <v>0</v>
      </c>
      <c r="Y61" s="234">
        <f t="shared" si="27"/>
        <v>0</v>
      </c>
      <c r="Z61" s="234">
        <f t="shared" si="28"/>
        <v>0</v>
      </c>
      <c r="AA61" s="234">
        <f t="shared" si="15"/>
        <v>0</v>
      </c>
      <c r="AB61" s="234">
        <f t="shared" si="16"/>
        <v>0</v>
      </c>
      <c r="AC61" s="234">
        <f t="shared" si="17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9"/>
        <v>0</v>
      </c>
      <c r="AU61" s="215">
        <f>Q61-Plod.25!Q61</f>
        <v>0</v>
      </c>
      <c r="AV61" s="215">
        <f>R61-Plod.25!R61</f>
        <v>0</v>
      </c>
      <c r="AW61" s="215">
        <f>S61-Plod.25!S61</f>
        <v>0</v>
      </c>
    </row>
    <row r="62" spans="2:49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3"/>
        <v>0</v>
      </c>
      <c r="V62" s="234">
        <f t="shared" si="24"/>
        <v>0</v>
      </c>
      <c r="W62" s="234">
        <f t="shared" si="25"/>
        <v>0</v>
      </c>
      <c r="X62" s="234">
        <f t="shared" si="26"/>
        <v>0</v>
      </c>
      <c r="Y62" s="234">
        <f t="shared" si="27"/>
        <v>0</v>
      </c>
      <c r="Z62" s="234">
        <f t="shared" si="28"/>
        <v>0</v>
      </c>
      <c r="AA62" s="234">
        <f t="shared" si="15"/>
        <v>0</v>
      </c>
      <c r="AB62" s="234">
        <f t="shared" si="16"/>
        <v>0</v>
      </c>
      <c r="AC62" s="234">
        <f t="shared" si="17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9"/>
        <v>0</v>
      </c>
      <c r="AU62" s="215">
        <f>Q62-Plod.25!Q62</f>
        <v>0</v>
      </c>
      <c r="AV62" s="215">
        <f>R62-Plod.25!R62</f>
        <v>0</v>
      </c>
      <c r="AW62" s="215">
        <f>S62-Plod.25!S62</f>
        <v>0</v>
      </c>
    </row>
    <row r="63" spans="2:49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3"/>
        <v>0</v>
      </c>
      <c r="V63" s="234">
        <f t="shared" si="24"/>
        <v>0</v>
      </c>
      <c r="W63" s="234">
        <f t="shared" si="25"/>
        <v>0</v>
      </c>
      <c r="X63" s="234">
        <f t="shared" si="26"/>
        <v>0</v>
      </c>
      <c r="Y63" s="234">
        <f t="shared" si="27"/>
        <v>0</v>
      </c>
      <c r="Z63" s="234">
        <f t="shared" si="28"/>
        <v>0</v>
      </c>
      <c r="AA63" s="234">
        <f t="shared" si="15"/>
        <v>0</v>
      </c>
      <c r="AB63" s="234">
        <f t="shared" si="16"/>
        <v>0</v>
      </c>
      <c r="AC63" s="234">
        <f t="shared" si="17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9"/>
        <v>0</v>
      </c>
      <c r="AU63" s="215">
        <f>Q63-Plod.25!Q63</f>
        <v>0</v>
      </c>
      <c r="AV63" s="215">
        <f>R63-Plod.25!R63</f>
        <v>0</v>
      </c>
      <c r="AW63" s="215">
        <f>S63-Plod.25!S63</f>
        <v>0</v>
      </c>
    </row>
    <row r="64" spans="2:49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3"/>
        <v>0</v>
      </c>
      <c r="V64" s="234">
        <f t="shared" si="24"/>
        <v>0</v>
      </c>
      <c r="W64" s="234">
        <f t="shared" si="25"/>
        <v>0</v>
      </c>
      <c r="X64" s="234">
        <f t="shared" si="26"/>
        <v>0</v>
      </c>
      <c r="Y64" s="234">
        <f t="shared" si="27"/>
        <v>0</v>
      </c>
      <c r="Z64" s="234">
        <f t="shared" si="28"/>
        <v>0</v>
      </c>
      <c r="AA64" s="234">
        <f t="shared" si="15"/>
        <v>0</v>
      </c>
      <c r="AB64" s="234">
        <f t="shared" si="16"/>
        <v>0</v>
      </c>
      <c r="AC64" s="234">
        <f t="shared" si="17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9"/>
        <v>0</v>
      </c>
      <c r="AU64" s="215">
        <f>Q64-Plod.25!Q64</f>
        <v>0</v>
      </c>
      <c r="AV64" s="215">
        <f>R64-Plod.25!R64</f>
        <v>0</v>
      </c>
      <c r="AW64" s="215">
        <f>S64-Plod.25!S64</f>
        <v>0</v>
      </c>
    </row>
    <row r="65" spans="2:49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3"/>
        <v>0</v>
      </c>
      <c r="V65" s="234">
        <f t="shared" si="24"/>
        <v>0</v>
      </c>
      <c r="W65" s="234">
        <f t="shared" si="25"/>
        <v>0</v>
      </c>
      <c r="X65" s="234">
        <f t="shared" si="26"/>
        <v>0</v>
      </c>
      <c r="Y65" s="234">
        <f t="shared" si="27"/>
        <v>0</v>
      </c>
      <c r="Z65" s="234">
        <f t="shared" si="28"/>
        <v>0</v>
      </c>
      <c r="AA65" s="234">
        <f t="shared" si="15"/>
        <v>0</v>
      </c>
      <c r="AB65" s="234">
        <f t="shared" si="16"/>
        <v>0</v>
      </c>
      <c r="AC65" s="234">
        <f t="shared" si="17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9"/>
        <v>0</v>
      </c>
      <c r="AU65" s="215">
        <f>Q65-Plod.25!Q65</f>
        <v>0</v>
      </c>
      <c r="AV65" s="215">
        <f>R65-Plod.25!R65</f>
        <v>0</v>
      </c>
      <c r="AW65" s="215">
        <f>S65-Plod.25!S65</f>
        <v>0</v>
      </c>
    </row>
    <row r="66" spans="2:49" s="5" customFormat="1" ht="14.25" customHeight="1" x14ac:dyDescent="0.25">
      <c r="B66" s="226" t="s">
        <v>62</v>
      </c>
      <c r="C66" s="42"/>
      <c r="D66" s="12"/>
      <c r="E66" s="12"/>
      <c r="F66" s="230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3"/>
        <v>0</v>
      </c>
      <c r="V66" s="234">
        <f t="shared" si="24"/>
        <v>0</v>
      </c>
      <c r="W66" s="234">
        <f t="shared" si="25"/>
        <v>0</v>
      </c>
      <c r="X66" s="234">
        <f t="shared" si="26"/>
        <v>0</v>
      </c>
      <c r="Y66" s="234">
        <f t="shared" si="27"/>
        <v>0</v>
      </c>
      <c r="Z66" s="234">
        <f t="shared" si="28"/>
        <v>0</v>
      </c>
      <c r="AA66" s="234">
        <f t="shared" si="15"/>
        <v>0</v>
      </c>
      <c r="AB66" s="234">
        <f t="shared" si="16"/>
        <v>0</v>
      </c>
      <c r="AC66" s="234">
        <f t="shared" si="17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9"/>
        <v>0</v>
      </c>
      <c r="AU66" s="215">
        <f>Q66-Plod.25!Q66</f>
        <v>0</v>
      </c>
      <c r="AV66" s="215">
        <f>R66-Plod.25!R66</f>
        <v>0</v>
      </c>
      <c r="AW66" s="215">
        <f>S66-Plod.25!S66</f>
        <v>0</v>
      </c>
    </row>
    <row r="67" spans="2:49" s="5" customFormat="1" ht="14.25" customHeight="1" x14ac:dyDescent="0.25">
      <c r="B67" s="226" t="s">
        <v>65</v>
      </c>
      <c r="C67" s="42"/>
      <c r="D67" s="12"/>
      <c r="E67" s="310"/>
      <c r="F67" s="312">
        <f t="shared" si="0"/>
        <v>0</v>
      </c>
      <c r="G67" s="33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3"/>
        <v>0</v>
      </c>
      <c r="V67" s="234">
        <f t="shared" si="24"/>
        <v>0</v>
      </c>
      <c r="W67" s="234">
        <f t="shared" si="25"/>
        <v>0</v>
      </c>
      <c r="X67" s="234">
        <f t="shared" si="26"/>
        <v>0</v>
      </c>
      <c r="Y67" s="234">
        <f t="shared" si="27"/>
        <v>0</v>
      </c>
      <c r="Z67" s="234">
        <f t="shared" si="28"/>
        <v>0</v>
      </c>
      <c r="AA67" s="234">
        <f t="shared" si="15"/>
        <v>0</v>
      </c>
      <c r="AB67" s="234">
        <f t="shared" si="16"/>
        <v>0</v>
      </c>
      <c r="AC67" s="234">
        <f t="shared" si="17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9"/>
        <v>0</v>
      </c>
      <c r="AU67" s="215">
        <f>Q67-Plod.25!Q67</f>
        <v>0</v>
      </c>
      <c r="AV67" s="215">
        <f>R67-Plod.25!R67</f>
        <v>0</v>
      </c>
      <c r="AW67" s="215">
        <f>S67-Plod.25!S67</f>
        <v>0</v>
      </c>
    </row>
    <row r="68" spans="2:49" s="5" customFormat="1" ht="14.25" customHeight="1" x14ac:dyDescent="0.25">
      <c r="B68" s="226" t="s">
        <v>64</v>
      </c>
      <c r="C68" s="42"/>
      <c r="D68" s="12"/>
      <c r="E68" s="310"/>
      <c r="F68" s="312">
        <f t="shared" si="0"/>
        <v>0</v>
      </c>
      <c r="G68" s="33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3"/>
        <v>0</v>
      </c>
      <c r="V68" s="234">
        <f t="shared" si="24"/>
        <v>0</v>
      </c>
      <c r="W68" s="234">
        <f t="shared" si="25"/>
        <v>0</v>
      </c>
      <c r="X68" s="234">
        <f t="shared" si="26"/>
        <v>0</v>
      </c>
      <c r="Y68" s="234">
        <f t="shared" si="27"/>
        <v>0</v>
      </c>
      <c r="Z68" s="234">
        <f t="shared" si="28"/>
        <v>0</v>
      </c>
      <c r="AA68" s="234">
        <f t="shared" si="15"/>
        <v>0</v>
      </c>
      <c r="AB68" s="234">
        <f t="shared" si="16"/>
        <v>0</v>
      </c>
      <c r="AC68" s="234">
        <f t="shared" si="17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9"/>
        <v>0</v>
      </c>
      <c r="AU68" s="215">
        <f>Q68-Plod.25!Q68</f>
        <v>0</v>
      </c>
      <c r="AV68" s="215">
        <f>R68-Plod.25!R68</f>
        <v>0</v>
      </c>
      <c r="AW68" s="215">
        <f>S68-Plod.25!S68</f>
        <v>0</v>
      </c>
    </row>
    <row r="69" spans="2:49" s="5" customFormat="1" ht="14.25" customHeight="1" x14ac:dyDescent="0.25">
      <c r="B69" s="226" t="s">
        <v>66</v>
      </c>
      <c r="C69" s="42"/>
      <c r="D69" s="12"/>
      <c r="E69" s="12"/>
      <c r="F69" s="31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3"/>
        <v>0</v>
      </c>
      <c r="V69" s="234">
        <f t="shared" si="24"/>
        <v>0</v>
      </c>
      <c r="W69" s="234">
        <f t="shared" si="25"/>
        <v>0</v>
      </c>
      <c r="X69" s="234">
        <f t="shared" si="26"/>
        <v>0</v>
      </c>
      <c r="Y69" s="234">
        <f t="shared" si="27"/>
        <v>0</v>
      </c>
      <c r="Z69" s="234">
        <f t="shared" si="28"/>
        <v>0</v>
      </c>
      <c r="AA69" s="234">
        <f t="shared" si="15"/>
        <v>0</v>
      </c>
      <c r="AB69" s="234">
        <f t="shared" si="16"/>
        <v>0</v>
      </c>
      <c r="AC69" s="234">
        <f t="shared" si="17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9"/>
        <v>0</v>
      </c>
      <c r="AU69" s="215">
        <f>Q69-Plod.25!Q69</f>
        <v>0</v>
      </c>
      <c r="AV69" s="215">
        <f>R69-Plod.25!R69</f>
        <v>0</v>
      </c>
      <c r="AW69" s="215">
        <f>S69-Plod.25!S69</f>
        <v>0</v>
      </c>
    </row>
    <row r="70" spans="2:49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3"/>
        <v>0</v>
      </c>
      <c r="V70" s="234">
        <f t="shared" si="24"/>
        <v>0</v>
      </c>
      <c r="W70" s="234">
        <f t="shared" si="25"/>
        <v>0</v>
      </c>
      <c r="X70" s="234">
        <f t="shared" si="26"/>
        <v>0</v>
      </c>
      <c r="Y70" s="234">
        <f t="shared" si="27"/>
        <v>0</v>
      </c>
      <c r="Z70" s="234">
        <f t="shared" si="28"/>
        <v>0</v>
      </c>
      <c r="AA70" s="234">
        <f t="shared" si="15"/>
        <v>0</v>
      </c>
      <c r="AB70" s="234">
        <f t="shared" si="16"/>
        <v>0</v>
      </c>
      <c r="AC70" s="234">
        <f t="shared" si="17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9"/>
        <v>0</v>
      </c>
      <c r="AU70" s="215">
        <f>Q70-Plod.25!Q70</f>
        <v>0</v>
      </c>
      <c r="AV70" s="215">
        <f>R70-Plod.25!R70</f>
        <v>0</v>
      </c>
      <c r="AW70" s="215">
        <f>S70-Plod.25!S70</f>
        <v>0</v>
      </c>
    </row>
    <row r="71" spans="2:49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3"/>
        <v>0</v>
      </c>
      <c r="V71" s="234">
        <f t="shared" si="24"/>
        <v>0</v>
      </c>
      <c r="W71" s="234">
        <f t="shared" si="25"/>
        <v>0</v>
      </c>
      <c r="X71" s="234">
        <f t="shared" si="26"/>
        <v>0</v>
      </c>
      <c r="Y71" s="234">
        <f t="shared" si="27"/>
        <v>0</v>
      </c>
      <c r="Z71" s="234">
        <f t="shared" si="28"/>
        <v>0</v>
      </c>
      <c r="AA71" s="234">
        <f t="shared" si="15"/>
        <v>0</v>
      </c>
      <c r="AB71" s="234">
        <f t="shared" si="16"/>
        <v>0</v>
      </c>
      <c r="AC71" s="234">
        <f t="shared" si="17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9"/>
        <v>0</v>
      </c>
      <c r="AU71" s="215">
        <f>Q71-Plod.25!Q71</f>
        <v>0</v>
      </c>
      <c r="AV71" s="215">
        <f>R71-Plod.25!R71</f>
        <v>0</v>
      </c>
      <c r="AW71" s="215">
        <f>S71-Plod.25!S71</f>
        <v>0</v>
      </c>
    </row>
    <row r="72" spans="2:49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30">IF($G72=0,$F72*$D72*AG72,$G72*$D72*AG72)</f>
        <v>0</v>
      </c>
      <c r="V72" s="234">
        <f t="shared" ref="V72:V78" si="31">IF($G72=0,$F72*$D72*AH72,$G72*$D72*AH72)</f>
        <v>0</v>
      </c>
      <c r="W72" s="234">
        <f t="shared" ref="W72:W78" si="32">IF($G72=0,$F72*$D72*AI72,$G72*$D72*AI72)</f>
        <v>0</v>
      </c>
      <c r="X72" s="234">
        <f t="shared" ref="X72:X78" si="33">IF($L72=0,$I72*AL72,$L72*AL72)</f>
        <v>0</v>
      </c>
      <c r="Y72" s="234">
        <f t="shared" ref="Y72:Y78" si="34">IF($L72=0,$I72*AM72,$L72*AM72)</f>
        <v>0</v>
      </c>
      <c r="Z72" s="234">
        <f t="shared" ref="Z72:Z78" si="35">IF($L72=0,$I72*AN72,$L72*AN72)</f>
        <v>0</v>
      </c>
      <c r="AA72" s="234">
        <f t="shared" si="15"/>
        <v>0</v>
      </c>
      <c r="AB72" s="234">
        <f t="shared" si="16"/>
        <v>0</v>
      </c>
      <c r="AC72" s="234">
        <f t="shared" si="17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6">AND(H72=0,L72&gt;0)</f>
        <v>0</v>
      </c>
      <c r="AU72" s="215">
        <f>Q72-Plod.25!Q72</f>
        <v>0</v>
      </c>
      <c r="AV72" s="215">
        <f>R72-Plod.25!R72</f>
        <v>0</v>
      </c>
      <c r="AW72" s="215">
        <f>S72-Plod.25!S72</f>
        <v>0</v>
      </c>
    </row>
    <row r="73" spans="2:49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9" si="37">IF($D73=0,0,AA73/$D73)</f>
        <v>0</v>
      </c>
      <c r="R73" s="236">
        <f t="shared" ref="R73:R79" si="38">IF($D73=0,0,AB73/$D73)</f>
        <v>0</v>
      </c>
      <c r="S73" s="236">
        <f t="shared" ref="S73:S79" si="39">IF($D73=0,0,AC73/$D73)</f>
        <v>0</v>
      </c>
      <c r="U73" s="234">
        <f t="shared" si="30"/>
        <v>0</v>
      </c>
      <c r="V73" s="234">
        <f t="shared" si="31"/>
        <v>0</v>
      </c>
      <c r="W73" s="234">
        <f t="shared" si="32"/>
        <v>0</v>
      </c>
      <c r="X73" s="234">
        <f t="shared" si="33"/>
        <v>0</v>
      </c>
      <c r="Y73" s="234">
        <f t="shared" si="34"/>
        <v>0</v>
      </c>
      <c r="Z73" s="234">
        <f t="shared" si="35"/>
        <v>0</v>
      </c>
      <c r="AA73" s="234">
        <f t="shared" si="15"/>
        <v>0</v>
      </c>
      <c r="AB73" s="234">
        <f t="shared" si="16"/>
        <v>0</v>
      </c>
      <c r="AC73" s="234">
        <f t="shared" si="17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6"/>
        <v>0</v>
      </c>
      <c r="AU73" s="215">
        <f>Q73-Plod.25!Q73</f>
        <v>0</v>
      </c>
      <c r="AV73" s="215">
        <f>R73-Plod.25!R73</f>
        <v>0</v>
      </c>
      <c r="AW73" s="215">
        <f>S73-Plod.25!S73</f>
        <v>0</v>
      </c>
    </row>
    <row r="74" spans="2:49" s="5" customFormat="1" ht="14.25" customHeight="1" x14ac:dyDescent="0.25">
      <c r="B74" s="68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7"/>
        <v>0</v>
      </c>
      <c r="R74" s="236">
        <f t="shared" si="38"/>
        <v>0</v>
      </c>
      <c r="S74" s="236">
        <f t="shared" si="39"/>
        <v>0</v>
      </c>
      <c r="U74" s="234">
        <f t="shared" si="30"/>
        <v>0</v>
      </c>
      <c r="V74" s="234">
        <f t="shared" si="31"/>
        <v>0</v>
      </c>
      <c r="W74" s="234">
        <f t="shared" si="32"/>
        <v>0</v>
      </c>
      <c r="X74" s="234">
        <f t="shared" si="33"/>
        <v>0</v>
      </c>
      <c r="Y74" s="234">
        <f t="shared" si="34"/>
        <v>0</v>
      </c>
      <c r="Z74" s="234">
        <f t="shared" si="35"/>
        <v>0</v>
      </c>
      <c r="AA74" s="234">
        <f t="shared" si="15"/>
        <v>0</v>
      </c>
      <c r="AB74" s="234">
        <f t="shared" si="16"/>
        <v>0</v>
      </c>
      <c r="AC74" s="234">
        <f t="shared" si="17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6"/>
        <v>0</v>
      </c>
      <c r="AU74" s="215">
        <f>Q74-Plod.25!Q74</f>
        <v>0</v>
      </c>
      <c r="AV74" s="215">
        <f>R74-Plod.25!R74</f>
        <v>0</v>
      </c>
      <c r="AW74" s="215">
        <f>S74-Plod.25!S74</f>
        <v>0</v>
      </c>
    </row>
    <row r="75" spans="2:49" s="5" customFormat="1" ht="14.25" customHeight="1" x14ac:dyDescent="0.25">
      <c r="B75" s="68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7"/>
        <v>0</v>
      </c>
      <c r="R75" s="236">
        <f t="shared" si="38"/>
        <v>0</v>
      </c>
      <c r="S75" s="236">
        <f t="shared" si="39"/>
        <v>0</v>
      </c>
      <c r="U75" s="234">
        <f t="shared" si="30"/>
        <v>0</v>
      </c>
      <c r="V75" s="234">
        <f t="shared" si="31"/>
        <v>0</v>
      </c>
      <c r="W75" s="234">
        <f t="shared" si="32"/>
        <v>0</v>
      </c>
      <c r="X75" s="234">
        <f t="shared" si="33"/>
        <v>0</v>
      </c>
      <c r="Y75" s="234">
        <f t="shared" si="34"/>
        <v>0</v>
      </c>
      <c r="Z75" s="234">
        <f t="shared" si="35"/>
        <v>0</v>
      </c>
      <c r="AA75" s="234">
        <f t="shared" ref="AA75:AC78" si="40">U75+X75</f>
        <v>0</v>
      </c>
      <c r="AB75" s="234">
        <f t="shared" si="40"/>
        <v>0</v>
      </c>
      <c r="AC75" s="234">
        <f t="shared" si="40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6"/>
        <v>0</v>
      </c>
      <c r="AU75" s="215">
        <f>Q75-Plod.25!Q75</f>
        <v>0</v>
      </c>
      <c r="AV75" s="215">
        <f>R75-Plod.25!R75</f>
        <v>0</v>
      </c>
      <c r="AW75" s="215">
        <f>S75-Plod.25!S75</f>
        <v>0</v>
      </c>
    </row>
    <row r="76" spans="2:49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7"/>
        <v>0</v>
      </c>
      <c r="R76" s="236">
        <f t="shared" si="38"/>
        <v>0</v>
      </c>
      <c r="S76" s="236">
        <f t="shared" si="39"/>
        <v>0</v>
      </c>
      <c r="U76" s="234">
        <f t="shared" si="30"/>
        <v>0</v>
      </c>
      <c r="V76" s="234">
        <f t="shared" si="31"/>
        <v>0</v>
      </c>
      <c r="W76" s="234">
        <f t="shared" si="32"/>
        <v>0</v>
      </c>
      <c r="X76" s="234">
        <f t="shared" si="33"/>
        <v>0</v>
      </c>
      <c r="Y76" s="234">
        <f t="shared" si="34"/>
        <v>0</v>
      </c>
      <c r="Z76" s="234">
        <f t="shared" si="35"/>
        <v>0</v>
      </c>
      <c r="AA76" s="234">
        <f t="shared" si="40"/>
        <v>0</v>
      </c>
      <c r="AB76" s="234">
        <f t="shared" si="40"/>
        <v>0</v>
      </c>
      <c r="AC76" s="234">
        <f t="shared" si="40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6"/>
        <v>0</v>
      </c>
      <c r="AU76" s="215">
        <f>Q76-Plod.25!Q76</f>
        <v>0</v>
      </c>
      <c r="AV76" s="215">
        <f>R76-Plod.25!R76</f>
        <v>0</v>
      </c>
      <c r="AW76" s="215">
        <f>S76-Plod.25!S76</f>
        <v>0</v>
      </c>
    </row>
    <row r="77" spans="2:49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7"/>
        <v>0</v>
      </c>
      <c r="R77" s="236">
        <f t="shared" si="38"/>
        <v>0</v>
      </c>
      <c r="S77" s="236">
        <f t="shared" si="39"/>
        <v>0</v>
      </c>
      <c r="U77" s="234">
        <f t="shared" si="30"/>
        <v>0</v>
      </c>
      <c r="V77" s="234">
        <f t="shared" si="31"/>
        <v>0</v>
      </c>
      <c r="W77" s="234">
        <f t="shared" si="32"/>
        <v>0</v>
      </c>
      <c r="X77" s="234">
        <f t="shared" si="33"/>
        <v>0</v>
      </c>
      <c r="Y77" s="234">
        <f t="shared" si="34"/>
        <v>0</v>
      </c>
      <c r="Z77" s="234">
        <f t="shared" si="35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6"/>
        <v>0</v>
      </c>
      <c r="AU77" s="215">
        <f>Q77-Plod.25!Q77</f>
        <v>0</v>
      </c>
      <c r="AV77" s="215">
        <f>R77-Plod.25!R77</f>
        <v>0</v>
      </c>
      <c r="AW77" s="215">
        <f>S77-Plod.25!S77</f>
        <v>0</v>
      </c>
    </row>
    <row r="78" spans="2:49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7"/>
        <v>0</v>
      </c>
      <c r="R78" s="236">
        <f t="shared" si="38"/>
        <v>0</v>
      </c>
      <c r="S78" s="236">
        <f t="shared" si="39"/>
        <v>0</v>
      </c>
      <c r="U78" s="234">
        <f t="shared" si="30"/>
        <v>0</v>
      </c>
      <c r="V78" s="234">
        <f t="shared" si="31"/>
        <v>0</v>
      </c>
      <c r="W78" s="234">
        <f t="shared" si="32"/>
        <v>0</v>
      </c>
      <c r="X78" s="234">
        <f t="shared" si="33"/>
        <v>0</v>
      </c>
      <c r="Y78" s="234">
        <f t="shared" si="34"/>
        <v>0</v>
      </c>
      <c r="Z78" s="234">
        <f t="shared" si="35"/>
        <v>0</v>
      </c>
      <c r="AA78" s="234">
        <f t="shared" si="40"/>
        <v>0</v>
      </c>
      <c r="AB78" s="234">
        <f t="shared" si="40"/>
        <v>0</v>
      </c>
      <c r="AC78" s="234">
        <f t="shared" si="40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6"/>
        <v>0</v>
      </c>
      <c r="AU78" s="215">
        <f>Q78-Plod.25!Q78</f>
        <v>0</v>
      </c>
      <c r="AV78" s="215">
        <f>R78-Plod.25!R78</f>
        <v>0</v>
      </c>
      <c r="AW78" s="215">
        <f>S78-Plod.25!S78</f>
        <v>0</v>
      </c>
    </row>
    <row r="79" spans="2:49" s="5" customFormat="1" ht="14.25" customHeight="1" x14ac:dyDescent="0.25">
      <c r="B79" s="683" t="s">
        <v>265</v>
      </c>
      <c r="C79" s="68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75">
        <f t="shared" si="37"/>
        <v>0</v>
      </c>
      <c r="R79" s="75">
        <f t="shared" si="38"/>
        <v>0</v>
      </c>
      <c r="S79" s="75">
        <f t="shared" si="39"/>
        <v>0</v>
      </c>
      <c r="U79" s="82"/>
      <c r="V79" s="82"/>
      <c r="W79" s="82"/>
      <c r="X79" s="82"/>
      <c r="Y79" s="82"/>
      <c r="Z79" s="82"/>
      <c r="AA79" s="74">
        <f t="shared" ref="AA79:AC80" si="41">U79+X79</f>
        <v>0</v>
      </c>
      <c r="AB79" s="74">
        <f t="shared" si="41"/>
        <v>0</v>
      </c>
      <c r="AC79" s="74">
        <f t="shared" si="41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  <c r="AU79" s="215">
        <f>Q79-Plod.25!Q79</f>
        <v>0</v>
      </c>
      <c r="AV79" s="215">
        <f>R79-Plod.25!R79</f>
        <v>0</v>
      </c>
      <c r="AW79" s="215">
        <f>S79-Plod.25!S79</f>
        <v>0</v>
      </c>
    </row>
    <row r="80" spans="2:49" s="4" customFormat="1" ht="14.25" customHeight="1" thickBot="1" x14ac:dyDescent="0.3">
      <c r="B80" s="687" t="s">
        <v>198</v>
      </c>
      <c r="C80" s="68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42">SUM(U10:U78)</f>
        <v>0</v>
      </c>
      <c r="V80" s="237">
        <f t="shared" si="42"/>
        <v>0</v>
      </c>
      <c r="W80" s="237">
        <f t="shared" si="42"/>
        <v>0</v>
      </c>
      <c r="X80" s="237">
        <f t="shared" si="42"/>
        <v>0</v>
      </c>
      <c r="Y80" s="237">
        <f t="shared" si="42"/>
        <v>0</v>
      </c>
      <c r="Z80" s="237">
        <f t="shared" si="42"/>
        <v>0</v>
      </c>
      <c r="AA80" s="238">
        <f t="shared" si="41"/>
        <v>0</v>
      </c>
      <c r="AB80" s="238">
        <f t="shared" si="41"/>
        <v>0</v>
      </c>
      <c r="AC80" s="238">
        <f t="shared" si="41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  <c r="AU80" s="215">
        <f>Q80-Plod.25!Q80</f>
        <v>0</v>
      </c>
      <c r="AV80" s="215">
        <f>R80-Plod.25!R80</f>
        <v>0</v>
      </c>
      <c r="AW80" s="215">
        <f>S80-Plod.25!S80</f>
        <v>0</v>
      </c>
    </row>
    <row r="81" spans="2:49" ht="15.75" thickBot="1" x14ac:dyDescent="0.3">
      <c r="B81" s="685" t="s">
        <v>211</v>
      </c>
      <c r="C81" s="68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9">
        <f>IF(D5=0,0,AQ80/D5)</f>
        <v>0</v>
      </c>
      <c r="AU81" s="215">
        <f>Q81-Plod.25!Q81</f>
        <v>0</v>
      </c>
      <c r="AV81" s="215">
        <f>R81-Plod.25!R81</f>
        <v>0</v>
      </c>
      <c r="AW81" s="215">
        <f>S81-Plod.25!S81</f>
        <v>0</v>
      </c>
    </row>
    <row r="83" spans="2:49" x14ac:dyDescent="0.25">
      <c r="B83" s="713" t="s">
        <v>680</v>
      </c>
      <c r="C83" s="713"/>
      <c r="D83" s="713"/>
      <c r="E83" s="713"/>
      <c r="F83" s="713"/>
      <c r="G83" s="713"/>
      <c r="H83" s="713"/>
    </row>
    <row r="84" spans="2:49" x14ac:dyDescent="0.25">
      <c r="F84" s="92"/>
      <c r="G84" s="92"/>
      <c r="AJ84" s="286"/>
    </row>
  </sheetData>
  <sheetProtection algorithmName="SHA-512" hashValue="YG1lsDyi4gTtgJV1OF1f8EL79zVz6CHKDi+ysB36R9UqMrdKHJ36xTF9VbEDN/4T6y75FImJ4RrGJB0UBFm+4Q==" saltValue="fQgcoCoft6PSBpBMKpRyLQ==" spinCount="100000" sheet="1" objects="1" scenarios="1" formatCells="0" formatColumns="0" formatRows="0" selectLockedCells="1"/>
  <mergeCells count="52">
    <mergeCell ref="B83:H83"/>
    <mergeCell ref="AP8:AQ8"/>
    <mergeCell ref="AP7:AQ7"/>
    <mergeCell ref="G2:M2"/>
    <mergeCell ref="G3:M3"/>
    <mergeCell ref="AP6:AQ6"/>
    <mergeCell ref="U8:W8"/>
    <mergeCell ref="X8:Z8"/>
    <mergeCell ref="AL8:AN8"/>
    <mergeCell ref="AA8:AC8"/>
    <mergeCell ref="U6:W6"/>
    <mergeCell ref="AJ8:AJ9"/>
    <mergeCell ref="E8:G8"/>
    <mergeCell ref="N2:O2"/>
    <mergeCell ref="N3:O3"/>
    <mergeCell ref="U7:AC7"/>
    <mergeCell ref="AJ6:AN6"/>
    <mergeCell ref="AJ7:AN7"/>
    <mergeCell ref="AG8:AI8"/>
    <mergeCell ref="O8:O9"/>
    <mergeCell ref="E1:F1"/>
    <mergeCell ref="P8:P9"/>
    <mergeCell ref="H7:P7"/>
    <mergeCell ref="AE8:AE9"/>
    <mergeCell ref="J9:K9"/>
    <mergeCell ref="AK8:AK9"/>
    <mergeCell ref="P2:Q2"/>
    <mergeCell ref="P3:Q3"/>
    <mergeCell ref="X6:Z6"/>
    <mergeCell ref="AE6:AI6"/>
    <mergeCell ref="AA6:AC6"/>
    <mergeCell ref="Q8:S8"/>
    <mergeCell ref="AE7:AI7"/>
    <mergeCell ref="B74:B75"/>
    <mergeCell ref="B79:C79"/>
    <mergeCell ref="B81:C81"/>
    <mergeCell ref="B80:C80"/>
    <mergeCell ref="AF8:AF9"/>
    <mergeCell ref="B9:C9"/>
    <mergeCell ref="B7:D8"/>
    <mergeCell ref="E7:G7"/>
    <mergeCell ref="H8:N8"/>
    <mergeCell ref="B27:B28"/>
    <mergeCell ref="Q7:S7"/>
    <mergeCell ref="B10:B11"/>
    <mergeCell ref="B15:B16"/>
    <mergeCell ref="M9:N9"/>
    <mergeCell ref="B3:D3"/>
    <mergeCell ref="B4:D4"/>
    <mergeCell ref="B5:C5"/>
    <mergeCell ref="B6:D6"/>
    <mergeCell ref="B1:D2"/>
  </mergeCells>
  <conditionalFormatting sqref="O10:O26 D81">
    <cfRule type="cellIs" dxfId="70" priority="13" stopIfTrue="1" operator="lessThan">
      <formula>0</formula>
    </cfRule>
  </conditionalFormatting>
  <conditionalFormatting sqref="O29:O40">
    <cfRule type="cellIs" dxfId="69" priority="33" stopIfTrue="1" operator="lessThan">
      <formula>0</formula>
    </cfRule>
  </conditionalFormatting>
  <conditionalFormatting sqref="O57 O62">
    <cfRule type="cellIs" dxfId="68" priority="5" stopIfTrue="1" operator="lessThan">
      <formula>0</formula>
    </cfRule>
  </conditionalFormatting>
  <conditionalFormatting sqref="P57 T57:AD57 P62 T62:AD62">
    <cfRule type="cellIs" dxfId="67" priority="4" stopIfTrue="1" operator="equal">
      <formula>"!"</formula>
    </cfRule>
  </conditionalFormatting>
  <conditionalFormatting sqref="P10:S10">
    <cfRule type="cellIs" dxfId="66" priority="31" stopIfTrue="1" operator="equal">
      <formula>"!"</formula>
    </cfRule>
  </conditionalFormatting>
  <conditionalFormatting sqref="Q80:S80">
    <cfRule type="cellIs" dxfId="65" priority="1" stopIfTrue="1" operator="equal">
      <formula>"!"</formula>
    </cfRule>
  </conditionalFormatting>
  <conditionalFormatting sqref="T10:AD26 P11:P26 Q11:S78 P29:P40">
    <cfRule type="cellIs" dxfId="64" priority="11" stopIfTrue="1" operator="equal">
      <formula>"!"</formula>
    </cfRule>
  </conditionalFormatting>
  <conditionalFormatting sqref="T29:AD40">
    <cfRule type="cellIs" dxfId="63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10FC-A09E-471A-8A1F-288C09022B72}">
  <sheetPr>
    <tabColor theme="6" tint="0.39997558519241921"/>
  </sheetPr>
  <dimension ref="B1:AS91"/>
  <sheetViews>
    <sheetView showGridLines="0" showZeros="0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5" sqref="D5"/>
    </sheetView>
  </sheetViews>
  <sheetFormatPr defaultColWidth="5.7109375" defaultRowHeight="15" x14ac:dyDescent="0.25"/>
  <cols>
    <col min="1" max="1" width="0.5703125" customWidth="1"/>
    <col min="2" max="2" width="38.5703125" customWidth="1"/>
    <col min="3" max="3" width="34.85546875" customWidth="1"/>
    <col min="4" max="4" width="26.570312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7.85546875" customWidth="1"/>
    <col min="12" max="12" width="13.140625" customWidth="1"/>
    <col min="13" max="13" width="7.5703125" customWidth="1"/>
    <col min="14" max="14" width="5.5703125" customWidth="1"/>
    <col min="15" max="15" width="11.28515625" customWidth="1"/>
    <col min="16" max="16" width="3.140625" style="27" customWidth="1"/>
    <col min="17" max="19" width="10.5703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2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5" ht="17.25" customHeight="1" x14ac:dyDescent="0.25">
      <c r="B1" s="742" t="s">
        <v>655</v>
      </c>
      <c r="C1" s="742"/>
      <c r="D1" s="742"/>
      <c r="E1" s="700" t="s">
        <v>590</v>
      </c>
      <c r="F1" s="743"/>
      <c r="G1" s="241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38">
        <f>H1-Plod.24!H1</f>
        <v>0</v>
      </c>
      <c r="O1" s="638">
        <f>J1-Plod.24!J1</f>
        <v>0</v>
      </c>
      <c r="P1" s="639"/>
      <c r="Q1" s="640"/>
      <c r="R1" s="640"/>
      <c r="S1" s="640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5" s="3" customFormat="1" ht="17.25" customHeight="1" x14ac:dyDescent="0.25">
      <c r="B2" s="742"/>
      <c r="C2" s="742"/>
      <c r="D2" s="742"/>
      <c r="E2" s="665">
        <f>Plod.24!E2</f>
        <v>0</v>
      </c>
      <c r="F2" s="592" t="s">
        <v>201</v>
      </c>
      <c r="G2" s="744">
        <f>Plod.24!G2</f>
        <v>0</v>
      </c>
      <c r="H2" s="744"/>
      <c r="I2" s="744"/>
      <c r="J2" s="744"/>
      <c r="K2" s="744"/>
      <c r="L2" s="744"/>
      <c r="M2" s="744"/>
      <c r="N2" s="727"/>
      <c r="O2" s="727"/>
      <c r="P2" s="708"/>
      <c r="Q2" s="708"/>
      <c r="R2" s="641"/>
      <c r="S2" s="641"/>
      <c r="U2" s="1"/>
      <c r="V2" s="1"/>
      <c r="W2" s="1"/>
      <c r="X2" s="1"/>
      <c r="Y2" s="1"/>
      <c r="Z2" s="1"/>
      <c r="AA2" s="1"/>
      <c r="AB2" s="1"/>
      <c r="AC2" s="1"/>
      <c r="AE2" s="112"/>
      <c r="AF2" s="112"/>
      <c r="AG2" s="112"/>
      <c r="AH2" s="112"/>
      <c r="AI2" s="112"/>
      <c r="AJ2" s="280"/>
      <c r="AK2" s="112"/>
      <c r="AL2" s="112"/>
    </row>
    <row r="3" spans="2:45" s="1" customFormat="1" ht="15" customHeight="1" x14ac:dyDescent="0.25">
      <c r="B3" s="741" t="s">
        <v>657</v>
      </c>
      <c r="C3" s="741"/>
      <c r="D3" s="741"/>
      <c r="E3" s="593"/>
      <c r="F3" s="592" t="s">
        <v>202</v>
      </c>
      <c r="G3" s="744">
        <f>Plod.24!G3</f>
        <v>0</v>
      </c>
      <c r="H3" s="744"/>
      <c r="I3" s="744"/>
      <c r="J3" s="744"/>
      <c r="K3" s="744"/>
      <c r="L3" s="744"/>
      <c r="M3" s="744"/>
      <c r="N3" s="728"/>
      <c r="O3" s="728"/>
      <c r="P3" s="708"/>
      <c r="Q3" s="708"/>
      <c r="R3" s="641"/>
      <c r="S3" s="641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5" s="1" customFormat="1" ht="15" customHeight="1" thickBot="1" x14ac:dyDescent="0.3">
      <c r="B4" s="729" t="s">
        <v>583</v>
      </c>
      <c r="C4" s="729"/>
      <c r="D4" s="729"/>
      <c r="E4" s="594"/>
      <c r="F4" s="592" t="s">
        <v>308</v>
      </c>
      <c r="G4" s="637" t="s">
        <v>210</v>
      </c>
      <c r="H4" s="645" t="s">
        <v>309</v>
      </c>
      <c r="I4" s="599"/>
      <c r="J4" s="599"/>
      <c r="K4" s="599"/>
      <c r="L4" s="599"/>
      <c r="M4" s="642"/>
      <c r="N4" s="642"/>
      <c r="O4" s="641"/>
      <c r="P4" s="641"/>
      <c r="Q4" s="641"/>
      <c r="R4" s="641"/>
      <c r="S4" s="641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5" s="1" customFormat="1" ht="15" customHeight="1" thickBot="1" x14ac:dyDescent="0.3">
      <c r="B5" s="730" t="str">
        <f>IF(Plod.24!D5&gt;Plod.25!D5,"Výměra v r. 2024 je vyšší než výměra v r. 2025. Pokud došlo k vydání půdy, tyto","")</f>
        <v/>
      </c>
      <c r="C5" s="731"/>
      <c r="D5" s="231"/>
      <c r="E5" s="648"/>
      <c r="F5" s="649" t="s">
        <v>203</v>
      </c>
      <c r="G5" s="308">
        <v>2025</v>
      </c>
      <c r="H5" s="650" t="s">
        <v>237</v>
      </c>
      <c r="I5" s="651"/>
      <c r="J5" s="651"/>
      <c r="K5" s="651"/>
      <c r="L5" s="651"/>
      <c r="M5" s="652"/>
      <c r="N5" s="642"/>
      <c r="O5" s="641"/>
      <c r="P5" s="641"/>
      <c r="Q5" s="641"/>
      <c r="R5" s="641"/>
      <c r="S5" s="641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5" ht="15" customHeight="1" x14ac:dyDescent="0.25">
      <c r="B6" s="732" t="str">
        <f>IF(Plod.24!D5&gt;Plod.25!D5,"plochy v r. 2024 neuvádějte. Je-li rozdíl způsoben jen změnou kultur, měřením apod., toto upozornění ignorujte.","")</f>
        <v/>
      </c>
      <c r="C6" s="732"/>
      <c r="D6" s="733"/>
      <c r="E6" s="653" t="s">
        <v>176</v>
      </c>
      <c r="F6" s="654">
        <f>D80-D5+0.000000000001</f>
        <v>9.9999999999999998E-13</v>
      </c>
      <c r="G6" s="655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6"/>
      <c r="I6" s="657"/>
      <c r="J6" s="658"/>
      <c r="K6" s="658"/>
      <c r="L6" s="658"/>
      <c r="M6" s="659"/>
      <c r="N6" s="643"/>
      <c r="O6" s="643"/>
      <c r="P6" s="643"/>
      <c r="Q6" s="644"/>
      <c r="R6" s="644"/>
      <c r="S6" s="644"/>
      <c r="U6" s="697"/>
      <c r="V6" s="697"/>
      <c r="W6" s="697"/>
      <c r="X6" s="697"/>
      <c r="Y6" s="697"/>
      <c r="Z6" s="697"/>
      <c r="AA6" s="697"/>
      <c r="AB6" s="697"/>
      <c r="AC6" s="697"/>
      <c r="AE6" s="709"/>
      <c r="AF6" s="709"/>
      <c r="AG6" s="709"/>
      <c r="AH6" s="709"/>
      <c r="AI6" s="709"/>
      <c r="AJ6" s="697"/>
      <c r="AK6" s="697"/>
      <c r="AL6" s="697"/>
      <c r="AM6" s="697"/>
      <c r="AN6" s="697"/>
      <c r="AP6" s="697"/>
      <c r="AQ6" s="697"/>
      <c r="AR6" s="46"/>
    </row>
    <row r="7" spans="2:45" ht="23.1" customHeight="1" x14ac:dyDescent="0.25">
      <c r="B7" s="734" t="s">
        <v>661</v>
      </c>
      <c r="C7" s="735"/>
      <c r="D7" s="736"/>
      <c r="E7" s="693" t="s">
        <v>208</v>
      </c>
      <c r="F7" s="693"/>
      <c r="G7" s="693"/>
      <c r="H7" s="703" t="s">
        <v>171</v>
      </c>
      <c r="I7" s="704"/>
      <c r="J7" s="704"/>
      <c r="K7" s="704"/>
      <c r="L7" s="704"/>
      <c r="M7" s="704"/>
      <c r="N7" s="705"/>
      <c r="O7" s="705"/>
      <c r="P7" s="706"/>
      <c r="Q7" s="695" t="s">
        <v>320</v>
      </c>
      <c r="R7" s="695"/>
      <c r="S7" s="695"/>
      <c r="U7" s="695" t="s">
        <v>321</v>
      </c>
      <c r="V7" s="695"/>
      <c r="W7" s="695"/>
      <c r="X7" s="695"/>
      <c r="Y7" s="695"/>
      <c r="Z7" s="695"/>
      <c r="AA7" s="695"/>
      <c r="AB7" s="695"/>
      <c r="AC7" s="695"/>
      <c r="AE7" s="680" t="s">
        <v>154</v>
      </c>
      <c r="AF7" s="680"/>
      <c r="AG7" s="680"/>
      <c r="AH7" s="680"/>
      <c r="AI7" s="680"/>
      <c r="AJ7" s="694" t="s">
        <v>155</v>
      </c>
      <c r="AK7" s="694"/>
      <c r="AL7" s="694"/>
      <c r="AM7" s="694"/>
      <c r="AN7" s="694"/>
      <c r="AP7" s="715" t="s">
        <v>270</v>
      </c>
      <c r="AQ7" s="715"/>
      <c r="AR7" s="46"/>
    </row>
    <row r="8" spans="2:45" ht="23.1" customHeight="1" x14ac:dyDescent="0.25">
      <c r="B8" s="737"/>
      <c r="C8" s="738"/>
      <c r="D8" s="739"/>
      <c r="E8" s="725" t="s">
        <v>172</v>
      </c>
      <c r="F8" s="726"/>
      <c r="G8" s="726"/>
      <c r="H8" s="694" t="s">
        <v>175</v>
      </c>
      <c r="I8" s="694"/>
      <c r="J8" s="694"/>
      <c r="K8" s="694"/>
      <c r="L8" s="694"/>
      <c r="M8" s="694"/>
      <c r="N8" s="694"/>
      <c r="O8" s="699" t="s">
        <v>645</v>
      </c>
      <c r="P8" s="702" t="s">
        <v>174</v>
      </c>
      <c r="Q8" s="710" t="s">
        <v>322</v>
      </c>
      <c r="R8" s="711"/>
      <c r="S8" s="712"/>
      <c r="U8" s="722" t="s">
        <v>154</v>
      </c>
      <c r="V8" s="723"/>
      <c r="W8" s="724"/>
      <c r="X8" s="722" t="s">
        <v>155</v>
      </c>
      <c r="Y8" s="723"/>
      <c r="Z8" s="724"/>
      <c r="AA8" s="722" t="s">
        <v>179</v>
      </c>
      <c r="AB8" s="723"/>
      <c r="AC8" s="724"/>
      <c r="AE8" s="680" t="s">
        <v>133</v>
      </c>
      <c r="AF8" s="680" t="s">
        <v>60</v>
      </c>
      <c r="AG8" s="698" t="s">
        <v>326</v>
      </c>
      <c r="AH8" s="698"/>
      <c r="AI8" s="698"/>
      <c r="AJ8" s="699" t="s">
        <v>133</v>
      </c>
      <c r="AK8" s="707" t="s">
        <v>60</v>
      </c>
      <c r="AL8" s="694" t="s">
        <v>156</v>
      </c>
      <c r="AM8" s="694"/>
      <c r="AN8" s="694"/>
      <c r="AP8" s="714"/>
      <c r="AQ8" s="714"/>
      <c r="AR8" s="46"/>
    </row>
    <row r="9" spans="2:45" s="1" customFormat="1" ht="51.75" customHeight="1" x14ac:dyDescent="0.25">
      <c r="B9" s="689" t="s">
        <v>310</v>
      </c>
      <c r="C9" s="690"/>
      <c r="D9" s="110" t="s">
        <v>327</v>
      </c>
      <c r="E9" s="36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6" t="s">
        <v>195</v>
      </c>
      <c r="K9" s="696"/>
      <c r="L9" s="47" t="s">
        <v>196</v>
      </c>
      <c r="M9" s="696" t="s">
        <v>197</v>
      </c>
      <c r="N9" s="696"/>
      <c r="O9" s="699"/>
      <c r="P9" s="702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323</v>
      </c>
      <c r="Z9" s="233" t="s">
        <v>324</v>
      </c>
      <c r="AA9" s="233" t="s">
        <v>267</v>
      </c>
      <c r="AB9" s="233" t="s">
        <v>323</v>
      </c>
      <c r="AC9" s="233" t="s">
        <v>324</v>
      </c>
      <c r="AE9" s="680"/>
      <c r="AF9" s="680"/>
      <c r="AG9" s="36" t="s">
        <v>0</v>
      </c>
      <c r="AH9" s="36" t="s">
        <v>59</v>
      </c>
      <c r="AI9" s="36" t="s">
        <v>61</v>
      </c>
      <c r="AJ9" s="699"/>
      <c r="AK9" s="707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5" s="5" customFormat="1" ht="14.25" customHeight="1" x14ac:dyDescent="0.25">
      <c r="B10" s="68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</row>
    <row r="11" spans="2:45" s="5" customFormat="1" ht="14.25" customHeight="1" x14ac:dyDescent="0.25">
      <c r="B11" s="68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C74" si="15">U11+X11</f>
        <v>0</v>
      </c>
      <c r="AB11" s="234">
        <f t="shared" si="15"/>
        <v>0</v>
      </c>
      <c r="AC11" s="234">
        <f t="shared" si="15"/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</row>
    <row r="12" spans="2:45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5"/>
        <v>0</v>
      </c>
      <c r="AC12" s="234">
        <f t="shared" si="15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</row>
    <row r="13" spans="2:45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5"/>
        <v>0</v>
      </c>
      <c r="AC13" s="234">
        <f t="shared" si="15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</row>
    <row r="14" spans="2:45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5"/>
        <v>0</v>
      </c>
      <c r="AC14" s="234">
        <f t="shared" si="15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</row>
    <row r="15" spans="2:45" s="5" customFormat="1" ht="14.25" customHeight="1" x14ac:dyDescent="0.25">
      <c r="B15" s="68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5"/>
        <v>0</v>
      </c>
      <c r="AC15" s="234">
        <f t="shared" si="15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</row>
    <row r="16" spans="2:45" s="5" customFormat="1" ht="14.25" customHeight="1" x14ac:dyDescent="0.25">
      <c r="B16" s="68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5"/>
        <v>0</v>
      </c>
      <c r="AC16" s="234">
        <f t="shared" si="15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</row>
    <row r="17" spans="2:45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5"/>
        <v>0</v>
      </c>
      <c r="AC17" s="234">
        <f t="shared" si="15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</row>
    <row r="18" spans="2:45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646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5"/>
        <v>0</v>
      </c>
      <c r="AC18" s="234">
        <f t="shared" si="15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</row>
    <row r="19" spans="2:45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647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5"/>
        <v>0</v>
      </c>
      <c r="AC19" s="234">
        <f t="shared" si="15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</row>
    <row r="20" spans="2:45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6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5"/>
        <v>0</v>
      </c>
      <c r="AC20" s="234">
        <f t="shared" si="15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</row>
    <row r="21" spans="2:45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6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5"/>
        <v>0</v>
      </c>
      <c r="AC21" s="234">
        <f t="shared" si="15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</row>
    <row r="22" spans="2:45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6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5"/>
        <v>0</v>
      </c>
      <c r="AC22" s="234">
        <f t="shared" si="15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</row>
    <row r="23" spans="2:45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6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5"/>
        <v>0</v>
      </c>
      <c r="AC23" s="234">
        <f t="shared" si="15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</row>
    <row r="24" spans="2:45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6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5"/>
        <v>0</v>
      </c>
      <c r="AC24" s="234">
        <f t="shared" si="15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</row>
    <row r="25" spans="2:45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6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5"/>
        <v>0</v>
      </c>
      <c r="AC25" s="234">
        <f t="shared" si="15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</row>
    <row r="26" spans="2:45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6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5"/>
        <v>0</v>
      </c>
      <c r="AC26" s="234">
        <f t="shared" si="15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</row>
    <row r="27" spans="2:45" s="5" customFormat="1" ht="14.25" customHeight="1" x14ac:dyDescent="0.25">
      <c r="B27" s="68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5"/>
        <v>0</v>
      </c>
      <c r="AC27" s="234">
        <f t="shared" si="15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</row>
    <row r="28" spans="2:45" s="5" customFormat="1" ht="14.25" customHeight="1" x14ac:dyDescent="0.25">
      <c r="B28" s="68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5"/>
        <v>0</v>
      </c>
      <c r="AC28" s="234">
        <f t="shared" si="15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</row>
    <row r="29" spans="2:45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7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18">D29-H29</f>
        <v>0</v>
      </c>
      <c r="P29" s="56" t="str">
        <f t="shared" ref="P29:P40" si="19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5"/>
        <v>0</v>
      </c>
      <c r="AC29" s="234">
        <f t="shared" si="15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</row>
    <row r="30" spans="2:45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7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40" si="20">IF(H30=0,"",IF(F30+G30=0,"",IF(L30=0,0,IF(G30=0,(L30/H30)/F30,(L30/H30)/G30))))</f>
        <v/>
      </c>
      <c r="O30" s="55">
        <f t="shared" si="18"/>
        <v>0</v>
      </c>
      <c r="P30" s="56" t="str">
        <f t="shared" si="19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5"/>
        <v>0</v>
      </c>
      <c r="AC30" s="234">
        <f t="shared" si="15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</row>
    <row r="31" spans="2:45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7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0"/>
        <v/>
      </c>
      <c r="O31" s="55">
        <f t="shared" si="18"/>
        <v>0</v>
      </c>
      <c r="P31" s="56" t="str">
        <f t="shared" si="19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5"/>
        <v>0</v>
      </c>
      <c r="AC31" s="234">
        <f t="shared" si="15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</row>
    <row r="32" spans="2:45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7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0"/>
        <v/>
      </c>
      <c r="O32" s="55">
        <f t="shared" si="18"/>
        <v>0</v>
      </c>
      <c r="P32" s="56" t="str">
        <f t="shared" si="19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5"/>
        <v>0</v>
      </c>
      <c r="AC32" s="234">
        <f t="shared" si="15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</row>
    <row r="33" spans="2:45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7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0"/>
        <v/>
      </c>
      <c r="O33" s="55">
        <f t="shared" si="18"/>
        <v>0</v>
      </c>
      <c r="P33" s="56" t="str">
        <f t="shared" si="19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5"/>
        <v>0</v>
      </c>
      <c r="AC33" s="234">
        <f t="shared" si="15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</row>
    <row r="34" spans="2:45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7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0"/>
        <v/>
      </c>
      <c r="O34" s="55">
        <f t="shared" si="18"/>
        <v>0</v>
      </c>
      <c r="P34" s="56" t="str">
        <f t="shared" si="19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5"/>
        <v>0</v>
      </c>
      <c r="AC34" s="234">
        <f t="shared" si="15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</row>
    <row r="35" spans="2:45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7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0"/>
        <v/>
      </c>
      <c r="O35" s="55">
        <f t="shared" si="18"/>
        <v>0</v>
      </c>
      <c r="P35" s="56" t="str">
        <f t="shared" si="19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5"/>
        <v>0</v>
      </c>
      <c r="AC35" s="234">
        <f t="shared" si="15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</row>
    <row r="36" spans="2:45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7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0"/>
        <v/>
      </c>
      <c r="O36" s="55">
        <f t="shared" si="18"/>
        <v>0</v>
      </c>
      <c r="P36" s="56" t="str">
        <f t="shared" si="19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5"/>
        <v>0</v>
      </c>
      <c r="AC36" s="234">
        <f t="shared" si="15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</row>
    <row r="37" spans="2:45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7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0"/>
        <v/>
      </c>
      <c r="O37" s="55">
        <f t="shared" si="18"/>
        <v>0</v>
      </c>
      <c r="P37" s="56" t="str">
        <f t="shared" si="19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5"/>
        <v>0</v>
      </c>
      <c r="AC37" s="234">
        <f t="shared" si="15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</row>
    <row r="38" spans="2:45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7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0"/>
        <v/>
      </c>
      <c r="O38" s="55">
        <f t="shared" si="18"/>
        <v>0</v>
      </c>
      <c r="P38" s="56" t="str">
        <f t="shared" si="19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5"/>
        <v>0</v>
      </c>
      <c r="AC38" s="234">
        <f t="shared" si="15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</row>
    <row r="39" spans="2:45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7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0"/>
        <v/>
      </c>
      <c r="O39" s="55">
        <f t="shared" si="18"/>
        <v>0</v>
      </c>
      <c r="P39" s="56" t="str">
        <f t="shared" si="19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5"/>
        <v>0</v>
      </c>
      <c r="AC39" s="234">
        <f t="shared" si="15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</row>
    <row r="40" spans="2:45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7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0"/>
        <v/>
      </c>
      <c r="O40" s="55">
        <f t="shared" si="18"/>
        <v>0</v>
      </c>
      <c r="P40" s="56" t="str">
        <f t="shared" si="19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5"/>
        <v>0</v>
      </c>
      <c r="AC40" s="234">
        <f t="shared" si="15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</row>
    <row r="41" spans="2:45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/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1">IF($G41=0,$F41*$D41*AG41,$G41*$D41*AG41)</f>
        <v>0</v>
      </c>
      <c r="V41" s="234">
        <f t="shared" ref="V41:V71" si="22">IF($G41=0,$F41*$D41*AH41,$G41*$D41*AH41)</f>
        <v>0</v>
      </c>
      <c r="W41" s="234">
        <f t="shared" ref="W41:W71" si="23">IF($G41=0,$F41*$D41*AI41,$G41*$D41*AI41)</f>
        <v>0</v>
      </c>
      <c r="X41" s="234">
        <f t="shared" ref="X41:X71" si="24">IF($L41=0,$I41*AL41,$L41*AL41)</f>
        <v>0</v>
      </c>
      <c r="Y41" s="234">
        <f t="shared" ref="Y41:Y71" si="25">IF($L41=0,$I41*AM41,$L41*AM41)</f>
        <v>0</v>
      </c>
      <c r="Z41" s="234">
        <f t="shared" ref="Z41:Z71" si="26">IF($L41=0,$I41*AN41,$L41*AN41)</f>
        <v>0</v>
      </c>
      <c r="AA41" s="234">
        <f t="shared" si="15"/>
        <v>0</v>
      </c>
      <c r="AB41" s="234">
        <f t="shared" si="15"/>
        <v>0</v>
      </c>
      <c r="AC41" s="234">
        <f t="shared" si="15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7">AND(H41=0,L41&gt;0)</f>
        <v>0</v>
      </c>
    </row>
    <row r="42" spans="2:45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/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1"/>
        <v>0</v>
      </c>
      <c r="V42" s="234">
        <f t="shared" si="22"/>
        <v>0</v>
      </c>
      <c r="W42" s="234">
        <f t="shared" si="23"/>
        <v>0</v>
      </c>
      <c r="X42" s="234">
        <f t="shared" si="24"/>
        <v>0</v>
      </c>
      <c r="Y42" s="234">
        <f t="shared" si="25"/>
        <v>0</v>
      </c>
      <c r="Z42" s="234">
        <f t="shared" si="26"/>
        <v>0</v>
      </c>
      <c r="AA42" s="234">
        <f t="shared" si="15"/>
        <v>0</v>
      </c>
      <c r="AB42" s="234">
        <f t="shared" si="15"/>
        <v>0</v>
      </c>
      <c r="AC42" s="234">
        <f t="shared" si="15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7"/>
        <v>0</v>
      </c>
    </row>
    <row r="43" spans="2:45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/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1"/>
        <v>0</v>
      </c>
      <c r="V43" s="234">
        <f t="shared" si="22"/>
        <v>0</v>
      </c>
      <c r="W43" s="234">
        <f t="shared" si="23"/>
        <v>0</v>
      </c>
      <c r="X43" s="234">
        <f t="shared" si="24"/>
        <v>0</v>
      </c>
      <c r="Y43" s="234">
        <f t="shared" si="25"/>
        <v>0</v>
      </c>
      <c r="Z43" s="234">
        <f t="shared" si="26"/>
        <v>0</v>
      </c>
      <c r="AA43" s="234">
        <f t="shared" si="15"/>
        <v>0</v>
      </c>
      <c r="AB43" s="234">
        <f t="shared" si="15"/>
        <v>0</v>
      </c>
      <c r="AC43" s="234">
        <f t="shared" si="15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7"/>
        <v>0</v>
      </c>
    </row>
    <row r="44" spans="2:45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/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1"/>
        <v>0</v>
      </c>
      <c r="V44" s="234">
        <f t="shared" si="22"/>
        <v>0</v>
      </c>
      <c r="W44" s="234">
        <f t="shared" si="23"/>
        <v>0</v>
      </c>
      <c r="X44" s="234">
        <f t="shared" si="24"/>
        <v>0</v>
      </c>
      <c r="Y44" s="234">
        <f t="shared" si="25"/>
        <v>0</v>
      </c>
      <c r="Z44" s="234">
        <f t="shared" si="26"/>
        <v>0</v>
      </c>
      <c r="AA44" s="234">
        <f t="shared" si="15"/>
        <v>0</v>
      </c>
      <c r="AB44" s="234">
        <f t="shared" si="15"/>
        <v>0</v>
      </c>
      <c r="AC44" s="234">
        <f t="shared" si="15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7"/>
        <v>0</v>
      </c>
    </row>
    <row r="45" spans="2:45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/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1"/>
        <v>0</v>
      </c>
      <c r="V45" s="234">
        <f t="shared" si="22"/>
        <v>0</v>
      </c>
      <c r="W45" s="234">
        <f t="shared" si="23"/>
        <v>0</v>
      </c>
      <c r="X45" s="234">
        <f t="shared" si="24"/>
        <v>0</v>
      </c>
      <c r="Y45" s="234">
        <f t="shared" si="25"/>
        <v>0</v>
      </c>
      <c r="Z45" s="234">
        <f t="shared" si="26"/>
        <v>0</v>
      </c>
      <c r="AA45" s="234">
        <f t="shared" si="15"/>
        <v>0</v>
      </c>
      <c r="AB45" s="234">
        <f t="shared" si="15"/>
        <v>0</v>
      </c>
      <c r="AC45" s="234">
        <f t="shared" si="15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7"/>
        <v>0</v>
      </c>
    </row>
    <row r="46" spans="2:45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/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1"/>
        <v>0</v>
      </c>
      <c r="V46" s="234">
        <f t="shared" si="22"/>
        <v>0</v>
      </c>
      <c r="W46" s="234">
        <f t="shared" si="23"/>
        <v>0</v>
      </c>
      <c r="X46" s="234">
        <f t="shared" si="24"/>
        <v>0</v>
      </c>
      <c r="Y46" s="234">
        <f t="shared" si="25"/>
        <v>0</v>
      </c>
      <c r="Z46" s="234">
        <f t="shared" si="26"/>
        <v>0</v>
      </c>
      <c r="AA46" s="234">
        <f t="shared" si="15"/>
        <v>0</v>
      </c>
      <c r="AB46" s="234">
        <f t="shared" si="15"/>
        <v>0</v>
      </c>
      <c r="AC46" s="234">
        <f t="shared" si="15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7"/>
        <v>0</v>
      </c>
    </row>
    <row r="47" spans="2:45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/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1"/>
        <v>0</v>
      </c>
      <c r="V47" s="234">
        <f t="shared" si="22"/>
        <v>0</v>
      </c>
      <c r="W47" s="234">
        <f t="shared" si="23"/>
        <v>0</v>
      </c>
      <c r="X47" s="234">
        <f t="shared" si="24"/>
        <v>0</v>
      </c>
      <c r="Y47" s="234">
        <f t="shared" si="25"/>
        <v>0</v>
      </c>
      <c r="Z47" s="234">
        <f t="shared" si="26"/>
        <v>0</v>
      </c>
      <c r="AA47" s="234">
        <f t="shared" si="15"/>
        <v>0</v>
      </c>
      <c r="AB47" s="234">
        <f t="shared" si="15"/>
        <v>0</v>
      </c>
      <c r="AC47" s="234">
        <f t="shared" si="15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7"/>
        <v>0</v>
      </c>
    </row>
    <row r="48" spans="2:45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/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1"/>
        <v>0</v>
      </c>
      <c r="V48" s="234">
        <f t="shared" si="22"/>
        <v>0</v>
      </c>
      <c r="W48" s="234">
        <f t="shared" si="23"/>
        <v>0</v>
      </c>
      <c r="X48" s="234">
        <f t="shared" si="24"/>
        <v>0</v>
      </c>
      <c r="Y48" s="234">
        <f t="shared" si="25"/>
        <v>0</v>
      </c>
      <c r="Z48" s="234">
        <f t="shared" si="26"/>
        <v>0</v>
      </c>
      <c r="AA48" s="234">
        <f t="shared" si="15"/>
        <v>0</v>
      </c>
      <c r="AB48" s="234">
        <f t="shared" si="15"/>
        <v>0</v>
      </c>
      <c r="AC48" s="234">
        <f t="shared" si="15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7"/>
        <v>0</v>
      </c>
    </row>
    <row r="49" spans="2:45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/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1"/>
        <v>0</v>
      </c>
      <c r="V49" s="234">
        <f t="shared" si="22"/>
        <v>0</v>
      </c>
      <c r="W49" s="234">
        <f t="shared" si="23"/>
        <v>0</v>
      </c>
      <c r="X49" s="234">
        <f t="shared" si="24"/>
        <v>0</v>
      </c>
      <c r="Y49" s="234">
        <f t="shared" si="25"/>
        <v>0</v>
      </c>
      <c r="Z49" s="234">
        <f t="shared" si="26"/>
        <v>0</v>
      </c>
      <c r="AA49" s="234">
        <f t="shared" si="15"/>
        <v>0</v>
      </c>
      <c r="AB49" s="234">
        <f t="shared" si="15"/>
        <v>0</v>
      </c>
      <c r="AC49" s="234">
        <f t="shared" si="15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7"/>
        <v>0</v>
      </c>
    </row>
    <row r="50" spans="2:45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/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1"/>
        <v>0</v>
      </c>
      <c r="V50" s="234">
        <f t="shared" si="22"/>
        <v>0</v>
      </c>
      <c r="W50" s="234">
        <f t="shared" si="23"/>
        <v>0</v>
      </c>
      <c r="X50" s="234">
        <f t="shared" si="24"/>
        <v>0</v>
      </c>
      <c r="Y50" s="234">
        <f t="shared" si="25"/>
        <v>0</v>
      </c>
      <c r="Z50" s="234">
        <f t="shared" si="26"/>
        <v>0</v>
      </c>
      <c r="AA50" s="234">
        <f t="shared" si="15"/>
        <v>0</v>
      </c>
      <c r="AB50" s="234">
        <f t="shared" si="15"/>
        <v>0</v>
      </c>
      <c r="AC50" s="234">
        <f t="shared" si="15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7"/>
        <v>0</v>
      </c>
    </row>
    <row r="51" spans="2:45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/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1"/>
        <v>0</v>
      </c>
      <c r="V51" s="234">
        <f t="shared" si="22"/>
        <v>0</v>
      </c>
      <c r="W51" s="234">
        <f t="shared" si="23"/>
        <v>0</v>
      </c>
      <c r="X51" s="234">
        <f t="shared" si="24"/>
        <v>0</v>
      </c>
      <c r="Y51" s="234">
        <f t="shared" si="25"/>
        <v>0</v>
      </c>
      <c r="Z51" s="234">
        <f t="shared" si="26"/>
        <v>0</v>
      </c>
      <c r="AA51" s="234">
        <f t="shared" si="15"/>
        <v>0</v>
      </c>
      <c r="AB51" s="234">
        <f t="shared" si="15"/>
        <v>0</v>
      </c>
      <c r="AC51" s="234">
        <f t="shared" si="15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7"/>
        <v>0</v>
      </c>
    </row>
    <row r="52" spans="2:45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/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1"/>
        <v>0</v>
      </c>
      <c r="V52" s="234">
        <f t="shared" si="22"/>
        <v>0</v>
      </c>
      <c r="W52" s="234">
        <f t="shared" si="23"/>
        <v>0</v>
      </c>
      <c r="X52" s="234">
        <f t="shared" si="24"/>
        <v>0</v>
      </c>
      <c r="Y52" s="234">
        <f t="shared" si="25"/>
        <v>0</v>
      </c>
      <c r="Z52" s="234">
        <f t="shared" si="26"/>
        <v>0</v>
      </c>
      <c r="AA52" s="234">
        <f t="shared" si="15"/>
        <v>0</v>
      </c>
      <c r="AB52" s="234">
        <f t="shared" si="15"/>
        <v>0</v>
      </c>
      <c r="AC52" s="234">
        <f t="shared" si="15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7"/>
        <v>0</v>
      </c>
    </row>
    <row r="53" spans="2:45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/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1"/>
        <v>0</v>
      </c>
      <c r="V53" s="234">
        <f t="shared" si="22"/>
        <v>0</v>
      </c>
      <c r="W53" s="234">
        <f t="shared" si="23"/>
        <v>0</v>
      </c>
      <c r="X53" s="234">
        <f t="shared" si="24"/>
        <v>0</v>
      </c>
      <c r="Y53" s="234">
        <f t="shared" si="25"/>
        <v>0</v>
      </c>
      <c r="Z53" s="234">
        <f t="shared" si="26"/>
        <v>0</v>
      </c>
      <c r="AA53" s="234">
        <f t="shared" si="15"/>
        <v>0</v>
      </c>
      <c r="AB53" s="234">
        <f t="shared" si="15"/>
        <v>0</v>
      </c>
      <c r="AC53" s="234">
        <f t="shared" si="15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7"/>
        <v>0</v>
      </c>
    </row>
    <row r="54" spans="2:45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/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1"/>
        <v>0</v>
      </c>
      <c r="V54" s="234">
        <f t="shared" si="22"/>
        <v>0</v>
      </c>
      <c r="W54" s="234">
        <f t="shared" si="23"/>
        <v>0</v>
      </c>
      <c r="X54" s="234">
        <f t="shared" si="24"/>
        <v>0</v>
      </c>
      <c r="Y54" s="234">
        <f t="shared" si="25"/>
        <v>0</v>
      </c>
      <c r="Z54" s="234">
        <f t="shared" si="26"/>
        <v>0</v>
      </c>
      <c r="AA54" s="234">
        <f t="shared" si="15"/>
        <v>0</v>
      </c>
      <c r="AB54" s="234">
        <f t="shared" si="15"/>
        <v>0</v>
      </c>
      <c r="AC54" s="234">
        <f t="shared" si="15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7"/>
        <v>0</v>
      </c>
    </row>
    <row r="55" spans="2:45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/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1"/>
        <v>0</v>
      </c>
      <c r="V55" s="234">
        <f t="shared" si="22"/>
        <v>0</v>
      </c>
      <c r="W55" s="234">
        <f t="shared" si="23"/>
        <v>0</v>
      </c>
      <c r="X55" s="234">
        <f t="shared" si="24"/>
        <v>0</v>
      </c>
      <c r="Y55" s="234">
        <f t="shared" si="25"/>
        <v>0</v>
      </c>
      <c r="Z55" s="234">
        <f t="shared" si="26"/>
        <v>0</v>
      </c>
      <c r="AA55" s="234">
        <f t="shared" si="15"/>
        <v>0</v>
      </c>
      <c r="AB55" s="234">
        <f t="shared" si="15"/>
        <v>0</v>
      </c>
      <c r="AC55" s="234">
        <f t="shared" si="15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7"/>
        <v>0</v>
      </c>
    </row>
    <row r="56" spans="2:45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/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1"/>
        <v>0</v>
      </c>
      <c r="V56" s="234">
        <f t="shared" si="22"/>
        <v>0</v>
      </c>
      <c r="W56" s="234">
        <f t="shared" si="23"/>
        <v>0</v>
      </c>
      <c r="X56" s="234">
        <f t="shared" si="24"/>
        <v>0</v>
      </c>
      <c r="Y56" s="234">
        <f t="shared" si="25"/>
        <v>0</v>
      </c>
      <c r="Z56" s="234">
        <f t="shared" si="26"/>
        <v>0</v>
      </c>
      <c r="AA56" s="234">
        <f t="shared" si="15"/>
        <v>0</v>
      </c>
      <c r="AB56" s="234">
        <f t="shared" si="15"/>
        <v>0</v>
      </c>
      <c r="AC56" s="234">
        <f t="shared" si="15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7"/>
        <v>0</v>
      </c>
    </row>
    <row r="57" spans="2:45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1"/>
        <v>0</v>
      </c>
      <c r="V57" s="234">
        <f t="shared" si="22"/>
        <v>0</v>
      </c>
      <c r="W57" s="234">
        <f t="shared" si="23"/>
        <v>0</v>
      </c>
      <c r="X57" s="234">
        <f t="shared" si="24"/>
        <v>0</v>
      </c>
      <c r="Y57" s="234">
        <f t="shared" si="25"/>
        <v>0</v>
      </c>
      <c r="Z57" s="234">
        <f t="shared" si="26"/>
        <v>0</v>
      </c>
      <c r="AA57" s="234">
        <f t="shared" si="15"/>
        <v>0</v>
      </c>
      <c r="AB57" s="234">
        <f t="shared" si="15"/>
        <v>0</v>
      </c>
      <c r="AC57" s="234">
        <f t="shared" si="15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7"/>
        <v>0</v>
      </c>
    </row>
    <row r="58" spans="2:45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1"/>
        <v>0</v>
      </c>
      <c r="V58" s="234">
        <f t="shared" si="22"/>
        <v>0</v>
      </c>
      <c r="W58" s="234">
        <f t="shared" si="23"/>
        <v>0</v>
      </c>
      <c r="X58" s="234">
        <f t="shared" si="24"/>
        <v>0</v>
      </c>
      <c r="Y58" s="234">
        <f t="shared" si="25"/>
        <v>0</v>
      </c>
      <c r="Z58" s="234">
        <f t="shared" si="26"/>
        <v>0</v>
      </c>
      <c r="AA58" s="234">
        <f t="shared" si="15"/>
        <v>0</v>
      </c>
      <c r="AB58" s="234">
        <f t="shared" si="15"/>
        <v>0</v>
      </c>
      <c r="AC58" s="234">
        <f t="shared" si="15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7"/>
        <v>0</v>
      </c>
    </row>
    <row r="59" spans="2:45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1"/>
        <v>0</v>
      </c>
      <c r="V59" s="234">
        <f t="shared" si="22"/>
        <v>0</v>
      </c>
      <c r="W59" s="234">
        <f t="shared" si="23"/>
        <v>0</v>
      </c>
      <c r="X59" s="234">
        <f t="shared" si="24"/>
        <v>0</v>
      </c>
      <c r="Y59" s="234">
        <f t="shared" si="25"/>
        <v>0</v>
      </c>
      <c r="Z59" s="234">
        <f t="shared" si="26"/>
        <v>0</v>
      </c>
      <c r="AA59" s="234">
        <f t="shared" si="15"/>
        <v>0</v>
      </c>
      <c r="AB59" s="234">
        <f t="shared" si="15"/>
        <v>0</v>
      </c>
      <c r="AC59" s="234">
        <f t="shared" si="15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7"/>
        <v>0</v>
      </c>
    </row>
    <row r="60" spans="2:45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1"/>
        <v>0</v>
      </c>
      <c r="V60" s="234">
        <f t="shared" si="22"/>
        <v>0</v>
      </c>
      <c r="W60" s="234">
        <f t="shared" si="23"/>
        <v>0</v>
      </c>
      <c r="X60" s="234">
        <f t="shared" si="24"/>
        <v>0</v>
      </c>
      <c r="Y60" s="234">
        <f t="shared" si="25"/>
        <v>0</v>
      </c>
      <c r="Z60" s="234">
        <f t="shared" si="26"/>
        <v>0</v>
      </c>
      <c r="AA60" s="234">
        <f t="shared" si="15"/>
        <v>0</v>
      </c>
      <c r="AB60" s="234">
        <f t="shared" si="15"/>
        <v>0</v>
      </c>
      <c r="AC60" s="234">
        <f t="shared" si="15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7"/>
        <v>0</v>
      </c>
    </row>
    <row r="61" spans="2:45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1"/>
        <v>0</v>
      </c>
      <c r="V61" s="234">
        <f t="shared" si="22"/>
        <v>0</v>
      </c>
      <c r="W61" s="234">
        <f t="shared" si="23"/>
        <v>0</v>
      </c>
      <c r="X61" s="234">
        <f t="shared" si="24"/>
        <v>0</v>
      </c>
      <c r="Y61" s="234">
        <f t="shared" si="25"/>
        <v>0</v>
      </c>
      <c r="Z61" s="234">
        <f t="shared" si="26"/>
        <v>0</v>
      </c>
      <c r="AA61" s="234">
        <f t="shared" si="15"/>
        <v>0</v>
      </c>
      <c r="AB61" s="234">
        <f t="shared" si="15"/>
        <v>0</v>
      </c>
      <c r="AC61" s="234">
        <f t="shared" si="15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7"/>
        <v>0</v>
      </c>
    </row>
    <row r="62" spans="2:45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1"/>
        <v>0</v>
      </c>
      <c r="V62" s="234">
        <f t="shared" si="22"/>
        <v>0</v>
      </c>
      <c r="W62" s="234">
        <f t="shared" si="23"/>
        <v>0</v>
      </c>
      <c r="X62" s="234">
        <f t="shared" si="24"/>
        <v>0</v>
      </c>
      <c r="Y62" s="234">
        <f t="shared" si="25"/>
        <v>0</v>
      </c>
      <c r="Z62" s="234">
        <f t="shared" si="26"/>
        <v>0</v>
      </c>
      <c r="AA62" s="234">
        <f t="shared" si="15"/>
        <v>0</v>
      </c>
      <c r="AB62" s="234">
        <f t="shared" si="15"/>
        <v>0</v>
      </c>
      <c r="AC62" s="234">
        <f t="shared" si="15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7"/>
        <v>0</v>
      </c>
    </row>
    <row r="63" spans="2:45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1"/>
        <v>0</v>
      </c>
      <c r="V63" s="234">
        <f t="shared" si="22"/>
        <v>0</v>
      </c>
      <c r="W63" s="234">
        <f t="shared" si="23"/>
        <v>0</v>
      </c>
      <c r="X63" s="234">
        <f t="shared" si="24"/>
        <v>0</v>
      </c>
      <c r="Y63" s="234">
        <f t="shared" si="25"/>
        <v>0</v>
      </c>
      <c r="Z63" s="234">
        <f t="shared" si="26"/>
        <v>0</v>
      </c>
      <c r="AA63" s="234">
        <f t="shared" si="15"/>
        <v>0</v>
      </c>
      <c r="AB63" s="234">
        <f t="shared" si="15"/>
        <v>0</v>
      </c>
      <c r="AC63" s="234">
        <f t="shared" si="15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7"/>
        <v>0</v>
      </c>
    </row>
    <row r="64" spans="2:45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1"/>
        <v>0</v>
      </c>
      <c r="V64" s="234">
        <f t="shared" si="22"/>
        <v>0</v>
      </c>
      <c r="W64" s="234">
        <f t="shared" si="23"/>
        <v>0</v>
      </c>
      <c r="X64" s="234">
        <f t="shared" si="24"/>
        <v>0</v>
      </c>
      <c r="Y64" s="234">
        <f t="shared" si="25"/>
        <v>0</v>
      </c>
      <c r="Z64" s="234">
        <f t="shared" si="26"/>
        <v>0</v>
      </c>
      <c r="AA64" s="234">
        <f t="shared" si="15"/>
        <v>0</v>
      </c>
      <c r="AB64" s="234">
        <f t="shared" si="15"/>
        <v>0</v>
      </c>
      <c r="AC64" s="234">
        <f t="shared" si="15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7"/>
        <v>0</v>
      </c>
    </row>
    <row r="65" spans="2:45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1"/>
        <v>0</v>
      </c>
      <c r="V65" s="234">
        <f t="shared" si="22"/>
        <v>0</v>
      </c>
      <c r="W65" s="234">
        <f t="shared" si="23"/>
        <v>0</v>
      </c>
      <c r="X65" s="234">
        <f t="shared" si="24"/>
        <v>0</v>
      </c>
      <c r="Y65" s="234">
        <f t="shared" si="25"/>
        <v>0</v>
      </c>
      <c r="Z65" s="234">
        <f t="shared" si="26"/>
        <v>0</v>
      </c>
      <c r="AA65" s="234">
        <f t="shared" si="15"/>
        <v>0</v>
      </c>
      <c r="AB65" s="234">
        <f t="shared" si="15"/>
        <v>0</v>
      </c>
      <c r="AC65" s="234">
        <f t="shared" si="15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7"/>
        <v>0</v>
      </c>
    </row>
    <row r="66" spans="2:45" s="5" customFormat="1" ht="14.25" customHeight="1" x14ac:dyDescent="0.25">
      <c r="B66" s="226" t="s">
        <v>62</v>
      </c>
      <c r="C66" s="42"/>
      <c r="D66" s="12"/>
      <c r="E66" s="12"/>
      <c r="F66" s="51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1"/>
        <v>0</v>
      </c>
      <c r="V66" s="234">
        <f t="shared" si="22"/>
        <v>0</v>
      </c>
      <c r="W66" s="234">
        <f t="shared" si="23"/>
        <v>0</v>
      </c>
      <c r="X66" s="234">
        <f t="shared" si="24"/>
        <v>0</v>
      </c>
      <c r="Y66" s="234">
        <f t="shared" si="25"/>
        <v>0</v>
      </c>
      <c r="Z66" s="234">
        <f t="shared" si="26"/>
        <v>0</v>
      </c>
      <c r="AA66" s="234">
        <f t="shared" si="15"/>
        <v>0</v>
      </c>
      <c r="AB66" s="234">
        <f t="shared" si="15"/>
        <v>0</v>
      </c>
      <c r="AC66" s="234">
        <f t="shared" si="15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7"/>
        <v>0</v>
      </c>
    </row>
    <row r="67" spans="2:45" s="5" customFormat="1" ht="14.25" customHeight="1" x14ac:dyDescent="0.25">
      <c r="B67" s="226" t="s">
        <v>65</v>
      </c>
      <c r="C67" s="42"/>
      <c r="D67" s="12"/>
      <c r="E67" s="12"/>
      <c r="F67" s="51">
        <f t="shared" si="0"/>
        <v>0</v>
      </c>
      <c r="G67" s="200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1"/>
        <v>0</v>
      </c>
      <c r="V67" s="234">
        <f t="shared" si="22"/>
        <v>0</v>
      </c>
      <c r="W67" s="234">
        <f t="shared" si="23"/>
        <v>0</v>
      </c>
      <c r="X67" s="234">
        <f t="shared" si="24"/>
        <v>0</v>
      </c>
      <c r="Y67" s="234">
        <f t="shared" si="25"/>
        <v>0</v>
      </c>
      <c r="Z67" s="234">
        <f t="shared" si="26"/>
        <v>0</v>
      </c>
      <c r="AA67" s="234">
        <f t="shared" si="15"/>
        <v>0</v>
      </c>
      <c r="AB67" s="234">
        <f t="shared" si="15"/>
        <v>0</v>
      </c>
      <c r="AC67" s="234">
        <f t="shared" si="15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7"/>
        <v>0</v>
      </c>
    </row>
    <row r="68" spans="2:45" s="5" customFormat="1" ht="14.25" customHeight="1" x14ac:dyDescent="0.25">
      <c r="B68" s="226" t="s">
        <v>64</v>
      </c>
      <c r="C68" s="42"/>
      <c r="D68" s="12"/>
      <c r="E68" s="12"/>
      <c r="F68" s="51">
        <f t="shared" si="0"/>
        <v>0</v>
      </c>
      <c r="G68" s="200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1"/>
        <v>0</v>
      </c>
      <c r="V68" s="234">
        <f t="shared" si="22"/>
        <v>0</v>
      </c>
      <c r="W68" s="234">
        <f t="shared" si="23"/>
        <v>0</v>
      </c>
      <c r="X68" s="234">
        <f t="shared" si="24"/>
        <v>0</v>
      </c>
      <c r="Y68" s="234">
        <f t="shared" si="25"/>
        <v>0</v>
      </c>
      <c r="Z68" s="234">
        <f t="shared" si="26"/>
        <v>0</v>
      </c>
      <c r="AA68" s="234">
        <f t="shared" si="15"/>
        <v>0</v>
      </c>
      <c r="AB68" s="234">
        <f t="shared" si="15"/>
        <v>0</v>
      </c>
      <c r="AC68" s="234">
        <f t="shared" si="15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7"/>
        <v>0</v>
      </c>
    </row>
    <row r="69" spans="2:45" s="5" customFormat="1" ht="14.25" customHeight="1" x14ac:dyDescent="0.25">
      <c r="B69" s="226" t="s">
        <v>66</v>
      </c>
      <c r="C69" s="42"/>
      <c r="D69" s="12"/>
      <c r="E69" s="12"/>
      <c r="F69" s="5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1"/>
        <v>0</v>
      </c>
      <c r="V69" s="234">
        <f t="shared" si="22"/>
        <v>0</v>
      </c>
      <c r="W69" s="234">
        <f t="shared" si="23"/>
        <v>0</v>
      </c>
      <c r="X69" s="234">
        <f t="shared" si="24"/>
        <v>0</v>
      </c>
      <c r="Y69" s="234">
        <f t="shared" si="25"/>
        <v>0</v>
      </c>
      <c r="Z69" s="234">
        <f t="shared" si="26"/>
        <v>0</v>
      </c>
      <c r="AA69" s="234">
        <f t="shared" si="15"/>
        <v>0</v>
      </c>
      <c r="AB69" s="234">
        <f t="shared" si="15"/>
        <v>0</v>
      </c>
      <c r="AC69" s="234">
        <f t="shared" si="15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7"/>
        <v>0</v>
      </c>
    </row>
    <row r="70" spans="2:45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1"/>
        <v>0</v>
      </c>
      <c r="V70" s="234">
        <f t="shared" si="22"/>
        <v>0</v>
      </c>
      <c r="W70" s="234">
        <f t="shared" si="23"/>
        <v>0</v>
      </c>
      <c r="X70" s="234">
        <f t="shared" si="24"/>
        <v>0</v>
      </c>
      <c r="Y70" s="234">
        <f t="shared" si="25"/>
        <v>0</v>
      </c>
      <c r="Z70" s="234">
        <f t="shared" si="26"/>
        <v>0</v>
      </c>
      <c r="AA70" s="234">
        <f t="shared" si="15"/>
        <v>0</v>
      </c>
      <c r="AB70" s="234">
        <f t="shared" si="15"/>
        <v>0</v>
      </c>
      <c r="AC70" s="234">
        <f t="shared" si="15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7"/>
        <v>0</v>
      </c>
    </row>
    <row r="71" spans="2:45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1"/>
        <v>0</v>
      </c>
      <c r="V71" s="234">
        <f t="shared" si="22"/>
        <v>0</v>
      </c>
      <c r="W71" s="234">
        <f t="shared" si="23"/>
        <v>0</v>
      </c>
      <c r="X71" s="234">
        <f t="shared" si="24"/>
        <v>0</v>
      </c>
      <c r="Y71" s="234">
        <f t="shared" si="25"/>
        <v>0</v>
      </c>
      <c r="Z71" s="234">
        <f t="shared" si="26"/>
        <v>0</v>
      </c>
      <c r="AA71" s="234">
        <f t="shared" si="15"/>
        <v>0</v>
      </c>
      <c r="AB71" s="234">
        <f t="shared" si="15"/>
        <v>0</v>
      </c>
      <c r="AC71" s="234">
        <f t="shared" si="15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7"/>
        <v>0</v>
      </c>
    </row>
    <row r="72" spans="2:45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28">IF($G72=0,$F72*$D72*AG72,$G72*$D72*AG72)</f>
        <v>0</v>
      </c>
      <c r="V72" s="234">
        <f t="shared" ref="V72:V78" si="29">IF($G72=0,$F72*$D72*AH72,$G72*$D72*AH72)</f>
        <v>0</v>
      </c>
      <c r="W72" s="234">
        <f t="shared" ref="W72:W78" si="30">IF($G72=0,$F72*$D72*AI72,$G72*$D72*AI72)</f>
        <v>0</v>
      </c>
      <c r="X72" s="234">
        <f t="shared" ref="X72:X78" si="31">IF($L72=0,$I72*AL72,$L72*AL72)</f>
        <v>0</v>
      </c>
      <c r="Y72" s="234">
        <f t="shared" ref="Y72:Y78" si="32">IF($L72=0,$I72*AM72,$L72*AM72)</f>
        <v>0</v>
      </c>
      <c r="Z72" s="234">
        <f t="shared" ref="Z72:Z78" si="33">IF($L72=0,$I72*AN72,$L72*AN72)</f>
        <v>0</v>
      </c>
      <c r="AA72" s="234">
        <f t="shared" si="15"/>
        <v>0</v>
      </c>
      <c r="AB72" s="234">
        <f t="shared" si="15"/>
        <v>0</v>
      </c>
      <c r="AC72" s="234">
        <f t="shared" si="15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4">AND(H72=0,L72&gt;0)</f>
        <v>0</v>
      </c>
    </row>
    <row r="73" spans="2:45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8" si="35">IF($D73=0,0,AA73/$D73)</f>
        <v>0</v>
      </c>
      <c r="R73" s="236">
        <f t="shared" ref="R73:R78" si="36">IF($D73=0,0,AB73/$D73)</f>
        <v>0</v>
      </c>
      <c r="S73" s="236">
        <f t="shared" ref="S73:S78" si="37">IF($D73=0,0,AC73/$D73)</f>
        <v>0</v>
      </c>
      <c r="U73" s="234">
        <f t="shared" si="28"/>
        <v>0</v>
      </c>
      <c r="V73" s="234">
        <f t="shared" si="29"/>
        <v>0</v>
      </c>
      <c r="W73" s="234">
        <f t="shared" si="30"/>
        <v>0</v>
      </c>
      <c r="X73" s="234">
        <f t="shared" si="31"/>
        <v>0</v>
      </c>
      <c r="Y73" s="234">
        <f t="shared" si="32"/>
        <v>0</v>
      </c>
      <c r="Z73" s="234">
        <f t="shared" si="33"/>
        <v>0</v>
      </c>
      <c r="AA73" s="234">
        <f t="shared" si="15"/>
        <v>0</v>
      </c>
      <c r="AB73" s="234">
        <f t="shared" si="15"/>
        <v>0</v>
      </c>
      <c r="AC73" s="234">
        <f t="shared" si="15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4"/>
        <v>0</v>
      </c>
    </row>
    <row r="74" spans="2:45" s="5" customFormat="1" ht="14.25" customHeight="1" x14ac:dyDescent="0.25">
      <c r="B74" s="68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5"/>
        <v>0</v>
      </c>
      <c r="R74" s="236">
        <f t="shared" si="36"/>
        <v>0</v>
      </c>
      <c r="S74" s="236">
        <f t="shared" si="37"/>
        <v>0</v>
      </c>
      <c r="U74" s="234">
        <f t="shared" si="28"/>
        <v>0</v>
      </c>
      <c r="V74" s="234">
        <f t="shared" si="29"/>
        <v>0</v>
      </c>
      <c r="W74" s="234">
        <f t="shared" si="30"/>
        <v>0</v>
      </c>
      <c r="X74" s="234">
        <f t="shared" si="31"/>
        <v>0</v>
      </c>
      <c r="Y74" s="234">
        <f t="shared" si="32"/>
        <v>0</v>
      </c>
      <c r="Z74" s="234">
        <f t="shared" si="33"/>
        <v>0</v>
      </c>
      <c r="AA74" s="234">
        <f t="shared" si="15"/>
        <v>0</v>
      </c>
      <c r="AB74" s="234">
        <f t="shared" si="15"/>
        <v>0</v>
      </c>
      <c r="AC74" s="234">
        <f t="shared" si="15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4"/>
        <v>0</v>
      </c>
    </row>
    <row r="75" spans="2:45" s="5" customFormat="1" ht="14.25" customHeight="1" x14ac:dyDescent="0.25">
      <c r="B75" s="68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5"/>
        <v>0</v>
      </c>
      <c r="R75" s="236">
        <f t="shared" si="36"/>
        <v>0</v>
      </c>
      <c r="S75" s="236">
        <f t="shared" si="37"/>
        <v>0</v>
      </c>
      <c r="U75" s="234">
        <f t="shared" si="28"/>
        <v>0</v>
      </c>
      <c r="V75" s="234">
        <f t="shared" si="29"/>
        <v>0</v>
      </c>
      <c r="W75" s="234">
        <f t="shared" si="30"/>
        <v>0</v>
      </c>
      <c r="X75" s="234">
        <f t="shared" si="31"/>
        <v>0</v>
      </c>
      <c r="Y75" s="234">
        <f t="shared" si="32"/>
        <v>0</v>
      </c>
      <c r="Z75" s="234">
        <f t="shared" si="33"/>
        <v>0</v>
      </c>
      <c r="AA75" s="234">
        <f t="shared" ref="AA75:AC80" si="38">U75+X75</f>
        <v>0</v>
      </c>
      <c r="AB75" s="234">
        <f t="shared" si="38"/>
        <v>0</v>
      </c>
      <c r="AC75" s="234">
        <f t="shared" si="38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4"/>
        <v>0</v>
      </c>
    </row>
    <row r="76" spans="2:45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5"/>
        <v>0</v>
      </c>
      <c r="R76" s="236">
        <f t="shared" si="36"/>
        <v>0</v>
      </c>
      <c r="S76" s="236">
        <f t="shared" si="37"/>
        <v>0</v>
      </c>
      <c r="U76" s="234">
        <f t="shared" si="28"/>
        <v>0</v>
      </c>
      <c r="V76" s="234">
        <f t="shared" si="29"/>
        <v>0</v>
      </c>
      <c r="W76" s="234">
        <f t="shared" si="30"/>
        <v>0</v>
      </c>
      <c r="X76" s="234">
        <f t="shared" si="31"/>
        <v>0</v>
      </c>
      <c r="Y76" s="234">
        <f t="shared" si="32"/>
        <v>0</v>
      </c>
      <c r="Z76" s="234">
        <f t="shared" si="33"/>
        <v>0</v>
      </c>
      <c r="AA76" s="234">
        <f t="shared" si="38"/>
        <v>0</v>
      </c>
      <c r="AB76" s="234">
        <f t="shared" si="38"/>
        <v>0</v>
      </c>
      <c r="AC76" s="234">
        <f t="shared" si="38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4"/>
        <v>0</v>
      </c>
    </row>
    <row r="77" spans="2:45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5"/>
        <v>0</v>
      </c>
      <c r="R77" s="236">
        <f t="shared" si="36"/>
        <v>0</v>
      </c>
      <c r="S77" s="236">
        <f t="shared" si="37"/>
        <v>0</v>
      </c>
      <c r="U77" s="234">
        <f t="shared" si="28"/>
        <v>0</v>
      </c>
      <c r="V77" s="234">
        <f t="shared" si="29"/>
        <v>0</v>
      </c>
      <c r="W77" s="234">
        <f t="shared" si="30"/>
        <v>0</v>
      </c>
      <c r="X77" s="234">
        <f t="shared" si="31"/>
        <v>0</v>
      </c>
      <c r="Y77" s="234">
        <f t="shared" si="32"/>
        <v>0</v>
      </c>
      <c r="Z77" s="234">
        <f t="shared" si="33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4"/>
        <v>0</v>
      </c>
    </row>
    <row r="78" spans="2:45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5"/>
        <v>0</v>
      </c>
      <c r="R78" s="236">
        <f t="shared" si="36"/>
        <v>0</v>
      </c>
      <c r="S78" s="236">
        <f t="shared" si="37"/>
        <v>0</v>
      </c>
      <c r="U78" s="234">
        <f t="shared" si="28"/>
        <v>0</v>
      </c>
      <c r="V78" s="234">
        <f t="shared" si="29"/>
        <v>0</v>
      </c>
      <c r="W78" s="234">
        <f t="shared" si="30"/>
        <v>0</v>
      </c>
      <c r="X78" s="234">
        <f t="shared" si="31"/>
        <v>0</v>
      </c>
      <c r="Y78" s="234">
        <f t="shared" si="32"/>
        <v>0</v>
      </c>
      <c r="Z78" s="234">
        <f t="shared" si="33"/>
        <v>0</v>
      </c>
      <c r="AA78" s="234">
        <f t="shared" si="38"/>
        <v>0</v>
      </c>
      <c r="AB78" s="234">
        <f t="shared" si="38"/>
        <v>0</v>
      </c>
      <c r="AC78" s="234">
        <f t="shared" si="38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4"/>
        <v>0</v>
      </c>
    </row>
    <row r="79" spans="2:45" s="5" customFormat="1" ht="14.25" customHeight="1" x14ac:dyDescent="0.25">
      <c r="B79" s="683" t="s">
        <v>265</v>
      </c>
      <c r="C79" s="68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82"/>
      <c r="R79" s="82"/>
      <c r="S79" s="82"/>
      <c r="U79" s="82"/>
      <c r="V79" s="82"/>
      <c r="W79" s="82"/>
      <c r="X79" s="82"/>
      <c r="Y79" s="82"/>
      <c r="Z79" s="82"/>
      <c r="AA79" s="74">
        <f t="shared" si="38"/>
        <v>0</v>
      </c>
      <c r="AB79" s="74">
        <f t="shared" si="38"/>
        <v>0</v>
      </c>
      <c r="AC79" s="74">
        <f t="shared" si="38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</row>
    <row r="80" spans="2:45" s="4" customFormat="1" ht="14.25" customHeight="1" thickBot="1" x14ac:dyDescent="0.3">
      <c r="B80" s="687" t="s">
        <v>198</v>
      </c>
      <c r="C80" s="68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39">SUM(U10:U78)</f>
        <v>0</v>
      </c>
      <c r="V80" s="237">
        <f t="shared" si="39"/>
        <v>0</v>
      </c>
      <c r="W80" s="237">
        <f t="shared" si="39"/>
        <v>0</v>
      </c>
      <c r="X80" s="237">
        <f t="shared" si="39"/>
        <v>0</v>
      </c>
      <c r="Y80" s="237">
        <f t="shared" si="39"/>
        <v>0</v>
      </c>
      <c r="Z80" s="237">
        <f t="shared" si="39"/>
        <v>0</v>
      </c>
      <c r="AA80" s="238">
        <f t="shared" si="38"/>
        <v>0</v>
      </c>
      <c r="AB80" s="238">
        <f t="shared" si="38"/>
        <v>0</v>
      </c>
      <c r="AC80" s="238">
        <f t="shared" si="38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</row>
    <row r="81" spans="2:43" ht="15.75" thickBot="1" x14ac:dyDescent="0.3">
      <c r="B81" s="685" t="s">
        <v>211</v>
      </c>
      <c r="C81" s="68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1">
        <f>IF($D$5=0,0,AQ80/$D$5)</f>
        <v>0</v>
      </c>
    </row>
    <row r="83" spans="2:43" x14ac:dyDescent="0.25">
      <c r="B83" s="713" t="str">
        <f>Plod.24!B83</f>
        <v>Verze 1 (15. 4. 2025); kontakty (CARC): www.carc.cz, Ing. Jan Klír, CSc. (603 520 684; jan.klir@carc.cz), Ing. Lada Kozlovská (733 375 632; lada.kozlovska@carc.cz)</v>
      </c>
      <c r="C83" s="713"/>
      <c r="D83" s="713"/>
      <c r="E83" s="713"/>
      <c r="F83" s="713"/>
      <c r="G83" s="713"/>
      <c r="H83" s="713"/>
      <c r="I83" s="5"/>
    </row>
    <row r="84" spans="2:43" x14ac:dyDescent="0.25">
      <c r="F84" s="92"/>
      <c r="G84" s="92"/>
      <c r="AJ84" s="286"/>
    </row>
    <row r="87" spans="2:43" x14ac:dyDescent="0.25">
      <c r="B87" t="s">
        <v>558</v>
      </c>
    </row>
    <row r="88" spans="2:43" ht="14.25" customHeight="1" x14ac:dyDescent="0.25">
      <c r="B88" s="740" t="s">
        <v>544</v>
      </c>
      <c r="C88" s="740"/>
      <c r="D88" s="268">
        <f>D27+D28+D29+D30+D63+D71+D72+D70</f>
        <v>0</v>
      </c>
    </row>
    <row r="89" spans="2:43" ht="14.25" customHeight="1" x14ac:dyDescent="0.25">
      <c r="B89" s="740" t="s">
        <v>545</v>
      </c>
      <c r="C89" s="740"/>
      <c r="D89" s="268">
        <f>D19+D42+D69+D64</f>
        <v>0</v>
      </c>
    </row>
    <row r="90" spans="2:43" ht="14.25" customHeight="1" x14ac:dyDescent="0.25">
      <c r="B90" s="740" t="s">
        <v>408</v>
      </c>
      <c r="C90" s="740"/>
      <c r="D90" s="268">
        <f>D54+D55</f>
        <v>0</v>
      </c>
    </row>
    <row r="91" spans="2:43" ht="14.25" customHeight="1" x14ac:dyDescent="0.25">
      <c r="B91" s="740" t="s">
        <v>550</v>
      </c>
      <c r="C91" s="740"/>
      <c r="D91" s="268">
        <f>D56+D58+D59+D60+D61</f>
        <v>0</v>
      </c>
    </row>
  </sheetData>
  <sheetProtection algorithmName="SHA-512" hashValue="8k3tVtfJ9DB4UmCK7FeylSaCd8uslAvbUKAx+bL70rMb837o4wcfng1DGTX7W5rg+Lfdj/2Xs0P/X5DRYnEs3g==" saltValue="2WM8/+fjXedf41BbgFf05w==" spinCount="100000" sheet="1" objects="1" scenarios="1" formatCells="0" formatColumns="0" formatRows="0" selectLockedCells="1"/>
  <mergeCells count="56">
    <mergeCell ref="B1:D2"/>
    <mergeCell ref="E1:F1"/>
    <mergeCell ref="AE7:AI7"/>
    <mergeCell ref="AJ8:AJ9"/>
    <mergeCell ref="G2:M2"/>
    <mergeCell ref="G3:M3"/>
    <mergeCell ref="Q7:S7"/>
    <mergeCell ref="N2:O2"/>
    <mergeCell ref="P2:Q2"/>
    <mergeCell ref="N3:O3"/>
    <mergeCell ref="P3:Q3"/>
    <mergeCell ref="E8:G8"/>
    <mergeCell ref="Q8:S8"/>
    <mergeCell ref="H8:N8"/>
    <mergeCell ref="O8:O9"/>
    <mergeCell ref="P8:P9"/>
    <mergeCell ref="AK8:AK9"/>
    <mergeCell ref="AF8:AF9"/>
    <mergeCell ref="AA8:AC8"/>
    <mergeCell ref="AG8:AI8"/>
    <mergeCell ref="AE8:AE9"/>
    <mergeCell ref="AP8:AQ8"/>
    <mergeCell ref="B3:D3"/>
    <mergeCell ref="AJ6:AN6"/>
    <mergeCell ref="U6:W6"/>
    <mergeCell ref="X6:Z6"/>
    <mergeCell ref="AA6:AC6"/>
    <mergeCell ref="AP6:AQ6"/>
    <mergeCell ref="AE6:AI6"/>
    <mergeCell ref="H7:P7"/>
    <mergeCell ref="AL8:AN8"/>
    <mergeCell ref="E7:G7"/>
    <mergeCell ref="U7:AC7"/>
    <mergeCell ref="AP7:AQ7"/>
    <mergeCell ref="U8:W8"/>
    <mergeCell ref="X8:Z8"/>
    <mergeCell ref="AJ7:AN7"/>
    <mergeCell ref="J9:K9"/>
    <mergeCell ref="M9:N9"/>
    <mergeCell ref="B7:D8"/>
    <mergeCell ref="B91:C91"/>
    <mergeCell ref="B88:C88"/>
    <mergeCell ref="B89:C89"/>
    <mergeCell ref="B90:C90"/>
    <mergeCell ref="B80:C80"/>
    <mergeCell ref="B81:C81"/>
    <mergeCell ref="B4:D4"/>
    <mergeCell ref="B5:C5"/>
    <mergeCell ref="B10:B11"/>
    <mergeCell ref="B15:B16"/>
    <mergeCell ref="B83:H83"/>
    <mergeCell ref="B27:B28"/>
    <mergeCell ref="B74:B75"/>
    <mergeCell ref="B79:C79"/>
    <mergeCell ref="B6:D6"/>
    <mergeCell ref="B9:C9"/>
  </mergeCells>
  <conditionalFormatting sqref="O10:O26 D81">
    <cfRule type="cellIs" dxfId="62" priority="7" stopIfTrue="1" operator="lessThan">
      <formula>0</formula>
    </cfRule>
  </conditionalFormatting>
  <conditionalFormatting sqref="O29:O40">
    <cfRule type="cellIs" dxfId="61" priority="13" stopIfTrue="1" operator="lessThan">
      <formula>0</formula>
    </cfRule>
  </conditionalFormatting>
  <conditionalFormatting sqref="O57 O62">
    <cfRule type="cellIs" dxfId="60" priority="9" stopIfTrue="1" operator="lessThan">
      <formula>0</formula>
    </cfRule>
  </conditionalFormatting>
  <conditionalFormatting sqref="P10:P26 T10:AD26 Q10:S78">
    <cfRule type="cellIs" dxfId="59" priority="5" stopIfTrue="1" operator="equal">
      <formula>"!"</formula>
    </cfRule>
  </conditionalFormatting>
  <conditionalFormatting sqref="P29:P40">
    <cfRule type="cellIs" dxfId="58" priority="10" stopIfTrue="1" operator="equal">
      <formula>"!"</formula>
    </cfRule>
  </conditionalFormatting>
  <conditionalFormatting sqref="P57 T57:AD57 P62 T62:AD62">
    <cfRule type="cellIs" dxfId="57" priority="8" stopIfTrue="1" operator="equal">
      <formula>"!"</formula>
    </cfRule>
  </conditionalFormatting>
  <conditionalFormatting sqref="Q80:S80">
    <cfRule type="cellIs" dxfId="56" priority="1" stopIfTrue="1" operator="equal">
      <formula>"!"</formula>
    </cfRule>
  </conditionalFormatting>
  <conditionalFormatting sqref="T29:AD40">
    <cfRule type="cellIs" dxfId="55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EFC5-1458-4A58-8F02-6ED9FC2F4402}">
  <sheetPr>
    <tabColor theme="7" tint="0.59999389629810485"/>
  </sheetPr>
  <dimension ref="B1:X98"/>
  <sheetViews>
    <sheetView showGridLines="0" showZeros="0" zoomScale="90" zoomScaleNormal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5.7109375" defaultRowHeight="15" x14ac:dyDescent="0.25"/>
  <cols>
    <col min="1" max="1" width="0.5703125" customWidth="1"/>
    <col min="2" max="2" width="44.7109375" customWidth="1"/>
    <col min="3" max="3" width="29.140625" customWidth="1"/>
    <col min="4" max="4" width="16" customWidth="1"/>
    <col min="5" max="5" width="16.7109375" style="2" customWidth="1"/>
    <col min="6" max="6" width="12.7109375" style="2" customWidth="1"/>
    <col min="7" max="7" width="15.5703125" style="2" customWidth="1"/>
    <col min="8" max="8" width="12.7109375" style="2" customWidth="1"/>
    <col min="9" max="9" width="26.42578125" style="2" customWidth="1"/>
    <col min="10" max="11" width="2.7109375" style="2" customWidth="1"/>
    <col min="12" max="12" width="71.5703125" style="2" customWidth="1"/>
    <col min="13" max="13" width="64" style="2" customWidth="1"/>
    <col min="14" max="14" width="17.42578125" style="111" customWidth="1"/>
    <col min="15" max="15" width="7.7109375" customWidth="1"/>
    <col min="16" max="18" width="8.85546875" customWidth="1"/>
    <col min="19" max="19" width="5.7109375" customWidth="1"/>
    <col min="20" max="20" width="8.28515625" hidden="1" customWidth="1"/>
    <col min="21" max="21" width="0" hidden="1" customWidth="1"/>
  </cols>
  <sheetData>
    <row r="1" spans="2:24" ht="5.25" customHeight="1" x14ac:dyDescent="0.25">
      <c r="B1" s="768" t="s">
        <v>663</v>
      </c>
      <c r="C1" s="597"/>
      <c r="D1" s="597"/>
      <c r="E1" s="602"/>
      <c r="F1" s="602"/>
      <c r="G1" s="602"/>
      <c r="H1" s="602"/>
      <c r="I1" s="602"/>
      <c r="J1" s="602"/>
      <c r="K1" s="602"/>
      <c r="S1" s="13"/>
      <c r="V1" s="13"/>
      <c r="W1" s="13"/>
      <c r="X1" s="13"/>
    </row>
    <row r="2" spans="2:24" s="3" customFormat="1" ht="20.25" customHeight="1" x14ac:dyDescent="0.25">
      <c r="B2" s="768"/>
      <c r="C2" s="592" t="s">
        <v>272</v>
      </c>
      <c r="D2" s="744" t="str">
        <f>IF(Plod.24!G2=0,"",Plod.24!G2)</f>
        <v/>
      </c>
      <c r="E2" s="744"/>
      <c r="F2" s="744"/>
      <c r="G2" s="744"/>
      <c r="H2" s="744"/>
      <c r="I2" s="744"/>
      <c r="J2" s="603"/>
      <c r="K2" s="603"/>
      <c r="L2" s="189"/>
      <c r="M2" s="189"/>
      <c r="N2" s="274"/>
      <c r="O2" s="190"/>
      <c r="S2" s="191"/>
      <c r="V2" s="191"/>
      <c r="W2" s="191"/>
      <c r="X2" s="191"/>
    </row>
    <row r="3" spans="2:24" s="1" customFormat="1" ht="20.25" customHeight="1" x14ac:dyDescent="0.25">
      <c r="B3" s="769" t="s">
        <v>664</v>
      </c>
      <c r="C3" s="592" t="s">
        <v>591</v>
      </c>
      <c r="D3" s="744" t="str">
        <f>IF(Plod.24!G3=0,"",Plod.24!G3)</f>
        <v/>
      </c>
      <c r="E3" s="744"/>
      <c r="F3" s="744"/>
      <c r="G3" s="744"/>
      <c r="H3" s="744"/>
      <c r="I3" s="744"/>
      <c r="J3" s="599"/>
      <c r="K3" s="599"/>
      <c r="L3" s="192"/>
      <c r="M3" s="192"/>
      <c r="N3" s="269"/>
      <c r="S3" s="25"/>
      <c r="T3" s="193"/>
      <c r="V3" s="25"/>
      <c r="W3" s="25"/>
      <c r="X3" s="25"/>
    </row>
    <row r="4" spans="2:24" s="1" customFormat="1" ht="20.25" customHeight="1" x14ac:dyDescent="0.25">
      <c r="B4" s="769"/>
      <c r="C4" s="592" t="s">
        <v>273</v>
      </c>
      <c r="D4" s="308">
        <f>Plod.25!G5</f>
        <v>2025</v>
      </c>
      <c r="E4" s="599"/>
      <c r="F4" s="599"/>
      <c r="G4" s="599"/>
      <c r="H4" s="599"/>
      <c r="I4" s="599"/>
      <c r="J4" s="599"/>
      <c r="K4" s="599"/>
      <c r="L4" s="192"/>
      <c r="M4" s="192"/>
      <c r="N4" s="269"/>
      <c r="O4" s="195"/>
      <c r="P4" s="35"/>
      <c r="Q4" s="35"/>
      <c r="R4" s="35"/>
      <c r="S4" s="25"/>
      <c r="T4" s="193"/>
      <c r="V4" s="25"/>
      <c r="W4" s="25"/>
      <c r="X4" s="25"/>
    </row>
    <row r="5" spans="2:24" s="1" customFormat="1" ht="3" customHeight="1" x14ac:dyDescent="0.25">
      <c r="B5" s="769"/>
      <c r="C5" s="592"/>
      <c r="D5" s="601"/>
      <c r="E5" s="599"/>
      <c r="F5" s="599"/>
      <c r="G5" s="599"/>
      <c r="H5" s="599"/>
      <c r="I5" s="599"/>
      <c r="J5" s="599"/>
      <c r="K5" s="599"/>
      <c r="L5" s="192"/>
      <c r="M5" s="192"/>
      <c r="N5" s="269"/>
      <c r="O5" s="195"/>
      <c r="P5" s="35"/>
      <c r="Q5" s="35"/>
      <c r="R5" s="35"/>
      <c r="S5" s="25"/>
      <c r="T5" s="193"/>
      <c r="V5" s="25"/>
      <c r="W5" s="25"/>
      <c r="X5" s="25"/>
    </row>
    <row r="6" spans="2:24" s="1" customFormat="1" ht="3" customHeight="1" x14ac:dyDescent="0.25">
      <c r="B6" s="770"/>
      <c r="C6" s="598"/>
      <c r="D6" s="600"/>
      <c r="E6" s="599"/>
      <c r="F6" s="599"/>
      <c r="G6" s="599"/>
      <c r="H6" s="599"/>
      <c r="I6" s="599"/>
      <c r="J6" s="599"/>
      <c r="K6" s="599"/>
      <c r="L6" s="192"/>
      <c r="M6" s="192"/>
      <c r="N6" s="269"/>
      <c r="O6" s="195"/>
      <c r="P6" s="35"/>
      <c r="Q6" s="35"/>
      <c r="R6" s="35"/>
      <c r="S6" s="25"/>
      <c r="T6" s="193"/>
      <c r="V6" s="25"/>
      <c r="W6" s="25"/>
      <c r="X6" s="25"/>
    </row>
    <row r="7" spans="2:24" ht="15" customHeight="1" x14ac:dyDescent="0.25">
      <c r="B7" s="757" t="s">
        <v>274</v>
      </c>
      <c r="C7" s="758"/>
      <c r="D7" s="759"/>
      <c r="E7" s="760" t="s">
        <v>275</v>
      </c>
      <c r="F7" s="761"/>
      <c r="G7" s="761"/>
      <c r="H7" s="761"/>
      <c r="I7" s="762"/>
      <c r="J7" s="745" t="s">
        <v>276</v>
      </c>
      <c r="K7" s="745" t="s">
        <v>277</v>
      </c>
      <c r="L7" s="196"/>
      <c r="M7" s="196"/>
      <c r="N7" s="748" t="s">
        <v>154</v>
      </c>
      <c r="O7" s="748"/>
      <c r="P7" s="748"/>
      <c r="Q7" s="748"/>
      <c r="R7" s="748"/>
      <c r="S7" s="13"/>
      <c r="T7" s="193"/>
      <c r="V7" s="13"/>
      <c r="W7" s="13"/>
      <c r="X7" s="13"/>
    </row>
    <row r="8" spans="2:24" ht="15" customHeight="1" x14ac:dyDescent="0.25">
      <c r="B8" s="749" t="s">
        <v>278</v>
      </c>
      <c r="C8" s="749"/>
      <c r="D8" s="309">
        <f>SUM(D63:D77)</f>
        <v>0</v>
      </c>
      <c r="E8" s="763"/>
      <c r="F8" s="764"/>
      <c r="G8" s="764"/>
      <c r="H8" s="764"/>
      <c r="I8" s="765"/>
      <c r="J8" s="746"/>
      <c r="K8" s="746"/>
      <c r="L8" s="196"/>
      <c r="M8" s="196"/>
      <c r="N8" s="750" t="s">
        <v>133</v>
      </c>
      <c r="O8" s="752" t="s">
        <v>60</v>
      </c>
      <c r="P8" s="754" t="s">
        <v>279</v>
      </c>
      <c r="Q8" s="755"/>
      <c r="R8" s="756"/>
      <c r="S8" s="13"/>
      <c r="T8" s="193"/>
      <c r="V8" s="13"/>
      <c r="W8" s="13"/>
      <c r="X8" s="13"/>
    </row>
    <row r="9" spans="2:24" s="1" customFormat="1" ht="52.5" customHeight="1" x14ac:dyDescent="0.25">
      <c r="B9" s="689" t="s">
        <v>310</v>
      </c>
      <c r="C9" s="690"/>
      <c r="D9" s="197" t="s">
        <v>328</v>
      </c>
      <c r="E9" s="198" t="s">
        <v>280</v>
      </c>
      <c r="F9" s="199" t="s">
        <v>281</v>
      </c>
      <c r="G9" s="199" t="s">
        <v>282</v>
      </c>
      <c r="H9" s="199" t="s">
        <v>283</v>
      </c>
      <c r="I9" s="199" t="s">
        <v>284</v>
      </c>
      <c r="J9" s="747"/>
      <c r="K9" s="747"/>
      <c r="L9" s="196"/>
      <c r="M9" s="196"/>
      <c r="N9" s="751"/>
      <c r="O9" s="753"/>
      <c r="P9" s="36" t="s">
        <v>0</v>
      </c>
      <c r="Q9" s="36" t="s">
        <v>592</v>
      </c>
      <c r="R9" s="36" t="s">
        <v>593</v>
      </c>
      <c r="S9" s="25"/>
      <c r="T9" s="35" t="s">
        <v>147</v>
      </c>
      <c r="U9" s="35" t="s">
        <v>285</v>
      </c>
      <c r="V9" s="25"/>
      <c r="W9" s="25"/>
      <c r="X9" s="25"/>
    </row>
    <row r="10" spans="2:24" s="5" customFormat="1" ht="14.25" customHeight="1" x14ac:dyDescent="0.25">
      <c r="B10" s="681" t="s">
        <v>561</v>
      </c>
      <c r="C10" s="37" t="s">
        <v>184</v>
      </c>
      <c r="D10" s="297">
        <f>Plod.25!D10</f>
        <v>0</v>
      </c>
      <c r="E10" s="33"/>
      <c r="F10" s="200"/>
      <c r="G10" s="200"/>
      <c r="H10" s="300">
        <f>IF(F10=0,0,IF(E10=0,0,IF((E10-G10)/E10&lt;0,0,(E10-G10)/E10)))</f>
        <v>0</v>
      </c>
      <c r="I10" s="301">
        <f>IF(E10=0,0,IF((E10-G10)/E10&lt;0.3,0,(E10-G10)*F10*P10/1000))</f>
        <v>0</v>
      </c>
      <c r="J10" s="201" t="str">
        <f t="shared" ref="J10:J40" si="0">IF(T10&lt;0,"!","")</f>
        <v/>
      </c>
      <c r="K10" s="201" t="str">
        <f t="shared" ref="K10:K40" si="1">IF(U10&lt;0,"!","")</f>
        <v/>
      </c>
      <c r="N10" s="57" t="str">
        <f>IF(Plod.25!AE10=0,"",Plod.25!AE10)</f>
        <v>zrno</v>
      </c>
      <c r="O10" s="38">
        <f>IF(Plod.25!AF10=0,0,Plod.25!AF10)</f>
        <v>0.86</v>
      </c>
      <c r="P10" s="292">
        <f>IF(Plod.25!AG10=0,0,Plod.25!AG10)</f>
        <v>20.399999999999999</v>
      </c>
      <c r="Q10" s="292">
        <f>IF(Plod.25!AH10=0,0,Plod.25!AH10)</f>
        <v>2.9</v>
      </c>
      <c r="R10" s="292">
        <f>IF(Plod.25!AI10=0,0,Plod.25!AI10)</f>
        <v>3.5</v>
      </c>
      <c r="S10" s="204"/>
      <c r="T10" s="202">
        <f t="shared" ref="T10:T40" si="2">D10-F10</f>
        <v>0</v>
      </c>
      <c r="U10" s="203">
        <f>E10-G10</f>
        <v>0</v>
      </c>
      <c r="V10" s="204"/>
      <c r="W10" s="204"/>
      <c r="X10" s="204"/>
    </row>
    <row r="11" spans="2:24" s="5" customFormat="1" ht="14.25" customHeight="1" x14ac:dyDescent="0.25">
      <c r="B11" s="682"/>
      <c r="C11" s="37" t="s">
        <v>185</v>
      </c>
      <c r="D11" s="297">
        <f>Plod.25!D11</f>
        <v>0</v>
      </c>
      <c r="E11" s="33"/>
      <c r="F11" s="200"/>
      <c r="G11" s="200"/>
      <c r="H11" s="300">
        <f>IF(F11=0,0,IF(E11=0,0,IF((E11-G11)/E11&lt;0,0,(E11-G11)/E11)))</f>
        <v>0</v>
      </c>
      <c r="I11" s="301">
        <f>IF(E11=0,0,IF((E11-G11)/E11&lt;0.3,0,(E11-G11)*F11*P11/1000))</f>
        <v>0</v>
      </c>
      <c r="J11" s="201" t="str">
        <f t="shared" si="0"/>
        <v/>
      </c>
      <c r="K11" s="201" t="str">
        <f t="shared" si="1"/>
        <v/>
      </c>
      <c r="N11" s="57" t="str">
        <f>IF(Plod.25!AE11=0,"",Plod.25!AE11)</f>
        <v>zrno</v>
      </c>
      <c r="O11" s="38">
        <f>IF(Plod.25!AF11=0,0,Plod.25!AF11)</f>
        <v>0.86</v>
      </c>
      <c r="P11" s="292">
        <f>IF(Plod.25!AG11=0,0,Plod.25!AG11)</f>
        <v>17.8</v>
      </c>
      <c r="Q11" s="292">
        <f>IF(Plod.25!AH11=0,0,Plod.25!AH11)</f>
        <v>2.9</v>
      </c>
      <c r="R11" s="292">
        <f>IF(Plod.25!AI11=0,0,Plod.25!AI11)</f>
        <v>3.5</v>
      </c>
      <c r="S11" s="204"/>
      <c r="T11" s="202">
        <f t="shared" si="2"/>
        <v>0</v>
      </c>
      <c r="U11" s="203">
        <f>E11-G11</f>
        <v>0</v>
      </c>
      <c r="V11" s="204"/>
      <c r="W11" s="204"/>
      <c r="X11" s="204"/>
    </row>
    <row r="12" spans="2:24" s="5" customFormat="1" ht="14.25" customHeight="1" x14ac:dyDescent="0.25">
      <c r="B12" s="226" t="s">
        <v>562</v>
      </c>
      <c r="C12" s="40"/>
      <c r="D12" s="297">
        <f>Plod.25!D12</f>
        <v>0</v>
      </c>
      <c r="E12" s="298"/>
      <c r="F12" s="299"/>
      <c r="G12" s="299"/>
      <c r="H12" s="300">
        <f t="shared" ref="H12:H74" si="3">IF(F12=0,0,IF(E12=0,0,IF((E12-G12)/E12&lt;0,0,(E12-G12)/E12)))</f>
        <v>0</v>
      </c>
      <c r="I12" s="301">
        <f t="shared" ref="I12:I40" si="4">IF(E12=0,0,IF((E12-G12)/E12&lt;0.3,0,(E12-G12)*F12*P12/1000))</f>
        <v>0</v>
      </c>
      <c r="J12" s="201" t="str">
        <f t="shared" si="0"/>
        <v/>
      </c>
      <c r="K12" s="201" t="str">
        <f t="shared" si="1"/>
        <v/>
      </c>
      <c r="N12" s="57" t="str">
        <f>IF(Plod.25!AE12=0,"",Plod.25!AE12)</f>
        <v>zrno</v>
      </c>
      <c r="O12" s="38">
        <f>IF(Plod.25!AF12=0,0,Plod.25!AF12)</f>
        <v>0.86</v>
      </c>
      <c r="P12" s="292">
        <f>IF(Plod.25!AG12=0,0,Plod.25!AG12)</f>
        <v>18.100000000000001</v>
      </c>
      <c r="Q12" s="292">
        <f>IF(Plod.25!AH12=0,0,Plod.25!AH12)</f>
        <v>3</v>
      </c>
      <c r="R12" s="292">
        <f>IF(Plod.25!AI12=0,0,Plod.25!AI12)</f>
        <v>3.7</v>
      </c>
      <c r="S12" s="204"/>
      <c r="T12" s="202">
        <f t="shared" si="2"/>
        <v>0</v>
      </c>
      <c r="U12" s="203">
        <f t="shared" ref="U12:U40" si="5">E12-G12</f>
        <v>0</v>
      </c>
      <c r="V12" s="204"/>
      <c r="W12" s="204"/>
      <c r="X12" s="204"/>
    </row>
    <row r="13" spans="2:24" s="5" customFormat="1" ht="14.25" customHeight="1" x14ac:dyDescent="0.25">
      <c r="B13" s="226" t="s">
        <v>88</v>
      </c>
      <c r="C13" s="40"/>
      <c r="D13" s="297">
        <f>Plod.25!D13</f>
        <v>0</v>
      </c>
      <c r="E13" s="298"/>
      <c r="F13" s="299"/>
      <c r="G13" s="299"/>
      <c r="H13" s="300">
        <f t="shared" si="3"/>
        <v>0</v>
      </c>
      <c r="I13" s="301">
        <f t="shared" si="4"/>
        <v>0</v>
      </c>
      <c r="J13" s="201" t="str">
        <f t="shared" si="0"/>
        <v/>
      </c>
      <c r="K13" s="201" t="str">
        <f t="shared" si="1"/>
        <v/>
      </c>
      <c r="N13" s="57" t="str">
        <f>IF(Plod.25!AE13=0,"",Plod.25!AE13)</f>
        <v>zrno</v>
      </c>
      <c r="O13" s="38">
        <f>IF(Plod.25!AF13=0,0,Plod.25!AF13)</f>
        <v>0.86</v>
      </c>
      <c r="P13" s="292">
        <f>IF(Plod.25!AG13=0,0,Plod.25!AG13)</f>
        <v>16.2</v>
      </c>
      <c r="Q13" s="292">
        <f>IF(Plod.25!AH13=0,0,Plod.25!AH13)</f>
        <v>3.5</v>
      </c>
      <c r="R13" s="292">
        <f>IF(Plod.25!AI13=0,0,Plod.25!AI13)</f>
        <v>5.0999999999999996</v>
      </c>
      <c r="S13" s="204"/>
      <c r="T13" s="202">
        <f t="shared" si="2"/>
        <v>0</v>
      </c>
      <c r="U13" s="203">
        <f t="shared" si="5"/>
        <v>0</v>
      </c>
      <c r="V13" s="204"/>
      <c r="W13" s="204"/>
      <c r="X13" s="204"/>
    </row>
    <row r="14" spans="2:24" s="5" customFormat="1" ht="14.25" customHeight="1" x14ac:dyDescent="0.25">
      <c r="B14" s="226" t="s">
        <v>81</v>
      </c>
      <c r="C14" s="40"/>
      <c r="D14" s="297">
        <f>Plod.25!D14</f>
        <v>0</v>
      </c>
      <c r="E14" s="298"/>
      <c r="F14" s="299"/>
      <c r="G14" s="299"/>
      <c r="H14" s="300">
        <f t="shared" si="3"/>
        <v>0</v>
      </c>
      <c r="I14" s="301">
        <f t="shared" si="4"/>
        <v>0</v>
      </c>
      <c r="J14" s="201" t="str">
        <f t="shared" si="0"/>
        <v/>
      </c>
      <c r="K14" s="201" t="str">
        <f t="shared" si="1"/>
        <v/>
      </c>
      <c r="N14" s="57" t="str">
        <f>IF(Plod.25!AE14=0,"",Plod.25!AE14)</f>
        <v>zrno</v>
      </c>
      <c r="O14" s="38">
        <f>IF(Plod.25!AF14=0,0,Plod.25!AF14)</f>
        <v>0.86</v>
      </c>
      <c r="P14" s="292">
        <f>IF(Plod.25!AG14=0,0,Plod.25!AG14)</f>
        <v>17.2</v>
      </c>
      <c r="Q14" s="292">
        <f>IF(Plod.25!AH14=0,0,Plod.25!AH14)</f>
        <v>3.4</v>
      </c>
      <c r="R14" s="292">
        <f>IF(Plod.25!AI14=0,0,Plod.25!AI14)</f>
        <v>5.0999999999999996</v>
      </c>
      <c r="S14" s="204"/>
      <c r="T14" s="202">
        <f t="shared" si="2"/>
        <v>0</v>
      </c>
      <c r="U14" s="203">
        <f t="shared" si="5"/>
        <v>0</v>
      </c>
      <c r="V14" s="204"/>
      <c r="W14" s="204"/>
      <c r="X14" s="204"/>
    </row>
    <row r="15" spans="2:24" s="5" customFormat="1" ht="14.25" customHeight="1" x14ac:dyDescent="0.25">
      <c r="B15" s="681" t="s">
        <v>187</v>
      </c>
      <c r="C15" s="37" t="s">
        <v>182</v>
      </c>
      <c r="D15" s="297">
        <f>Plod.25!D15</f>
        <v>0</v>
      </c>
      <c r="E15" s="298"/>
      <c r="F15" s="299"/>
      <c r="G15" s="299"/>
      <c r="H15" s="300">
        <f t="shared" si="3"/>
        <v>0</v>
      </c>
      <c r="I15" s="301">
        <f t="shared" si="4"/>
        <v>0</v>
      </c>
      <c r="J15" s="201" t="str">
        <f t="shared" si="0"/>
        <v/>
      </c>
      <c r="K15" s="201" t="str">
        <f t="shared" si="1"/>
        <v/>
      </c>
      <c r="N15" s="57" t="str">
        <f>IF(Plod.25!AE15=0,"",Plod.25!AE15)</f>
        <v>zrno</v>
      </c>
      <c r="O15" s="38">
        <f>IF(Plod.25!AF15=0,0,Plod.25!AF15)</f>
        <v>0.86</v>
      </c>
      <c r="P15" s="292">
        <f>IF(Plod.25!AG15=0,0,Plod.25!AG15)</f>
        <v>15.1</v>
      </c>
      <c r="Q15" s="292">
        <f>IF(Plod.25!AH15=0,0,Plod.25!AH15)</f>
        <v>2.8</v>
      </c>
      <c r="R15" s="292">
        <f>IF(Plod.25!AI15=0,0,Plod.25!AI15)</f>
        <v>3.9</v>
      </c>
      <c r="S15" s="204"/>
      <c r="T15" s="202">
        <f t="shared" si="2"/>
        <v>0</v>
      </c>
      <c r="U15" s="203">
        <f t="shared" si="5"/>
        <v>0</v>
      </c>
      <c r="V15" s="204"/>
      <c r="W15" s="204"/>
      <c r="X15" s="204"/>
    </row>
    <row r="16" spans="2:24" s="5" customFormat="1" ht="14.25" customHeight="1" x14ac:dyDescent="0.25">
      <c r="B16" s="682"/>
      <c r="C16" s="37" t="s">
        <v>183</v>
      </c>
      <c r="D16" s="297">
        <f>Plod.25!D16</f>
        <v>0</v>
      </c>
      <c r="E16" s="298"/>
      <c r="F16" s="299"/>
      <c r="G16" s="299"/>
      <c r="H16" s="300">
        <f t="shared" si="3"/>
        <v>0</v>
      </c>
      <c r="I16" s="301">
        <f t="shared" si="4"/>
        <v>0</v>
      </c>
      <c r="J16" s="201" t="str">
        <f t="shared" si="0"/>
        <v/>
      </c>
      <c r="K16" s="201" t="str">
        <f t="shared" si="1"/>
        <v/>
      </c>
      <c r="N16" s="57" t="str">
        <f>IF(Plod.25!AE16=0,"",Plod.25!AE16)</f>
        <v>zrno</v>
      </c>
      <c r="O16" s="38">
        <f>IF(Plod.25!AF16=0,0,Plod.25!AF16)</f>
        <v>0.86</v>
      </c>
      <c r="P16" s="292">
        <f>IF(Plod.25!AG16=0,0,Plod.25!AG16)</f>
        <v>17.2</v>
      </c>
      <c r="Q16" s="292">
        <f>IF(Plod.25!AH16=0,0,Plod.25!AH16)</f>
        <v>2.8</v>
      </c>
      <c r="R16" s="292">
        <f>IF(Plod.25!AI16=0,0,Plod.25!AI16)</f>
        <v>3.9</v>
      </c>
      <c r="S16" s="204"/>
      <c r="T16" s="202">
        <f t="shared" si="2"/>
        <v>0</v>
      </c>
      <c r="U16" s="203">
        <f t="shared" si="5"/>
        <v>0</v>
      </c>
      <c r="V16" s="204"/>
      <c r="W16" s="204"/>
      <c r="X16" s="204"/>
    </row>
    <row r="17" spans="2:24" s="5" customFormat="1" ht="14.25" customHeight="1" x14ac:dyDescent="0.25">
      <c r="B17" s="226" t="s">
        <v>82</v>
      </c>
      <c r="C17" s="40"/>
      <c r="D17" s="297">
        <f>Plod.25!D17</f>
        <v>0</v>
      </c>
      <c r="E17" s="298"/>
      <c r="F17" s="299"/>
      <c r="G17" s="299"/>
      <c r="H17" s="300">
        <f t="shared" si="3"/>
        <v>0</v>
      </c>
      <c r="I17" s="301">
        <f t="shared" si="4"/>
        <v>0</v>
      </c>
      <c r="J17" s="201" t="str">
        <f t="shared" si="0"/>
        <v/>
      </c>
      <c r="K17" s="201" t="str">
        <f t="shared" si="1"/>
        <v/>
      </c>
      <c r="N17" s="57" t="str">
        <f>IF(Plod.25!AE17=0,"",Plod.25!AE17)</f>
        <v>zrno</v>
      </c>
      <c r="O17" s="38">
        <f>IF(Plod.25!AF17=0,0,Plod.25!AF17)</f>
        <v>0.86</v>
      </c>
      <c r="P17" s="292">
        <f>IF(Plod.25!AG17=0,0,Plod.25!AG17)</f>
        <v>18.600000000000001</v>
      </c>
      <c r="Q17" s="292">
        <f>IF(Plod.25!AH17=0,0,Plod.25!AH17)</f>
        <v>4</v>
      </c>
      <c r="R17" s="292">
        <f>IF(Plod.25!AI17=0,0,Plod.25!AI17)</f>
        <v>5.0999999999999996</v>
      </c>
      <c r="S17" s="204"/>
      <c r="T17" s="202">
        <f t="shared" si="2"/>
        <v>0</v>
      </c>
      <c r="U17" s="203">
        <f t="shared" si="5"/>
        <v>0</v>
      </c>
      <c r="V17" s="204"/>
      <c r="W17" s="204"/>
      <c r="X17" s="204"/>
    </row>
    <row r="18" spans="2:24" s="5" customFormat="1" ht="14.25" customHeight="1" x14ac:dyDescent="0.25">
      <c r="B18" s="226" t="s">
        <v>83</v>
      </c>
      <c r="C18" s="40"/>
      <c r="D18" s="297">
        <f>Plod.25!D18</f>
        <v>0</v>
      </c>
      <c r="E18" s="298"/>
      <c r="F18" s="299"/>
      <c r="G18" s="299"/>
      <c r="H18" s="300">
        <f t="shared" si="3"/>
        <v>0</v>
      </c>
      <c r="I18" s="301">
        <f t="shared" si="4"/>
        <v>0</v>
      </c>
      <c r="J18" s="201" t="str">
        <f t="shared" si="0"/>
        <v/>
      </c>
      <c r="K18" s="201" t="str">
        <f t="shared" si="1"/>
        <v/>
      </c>
      <c r="N18" s="57" t="str">
        <f>IF(Plod.25!AE18=0,"",Plod.25!AE18)</f>
        <v>zrno</v>
      </c>
      <c r="O18" s="38">
        <f>IF(Plod.25!AF18=0,0,Plod.25!AF18)</f>
        <v>0.86</v>
      </c>
      <c r="P18" s="292">
        <f>IF(Plod.25!AG18=0,0,Plod.25!AG18)</f>
        <v>17.899999999999999</v>
      </c>
      <c r="Q18" s="292">
        <f>IF(Plod.25!AH18=0,0,Plod.25!AH18)</f>
        <v>3.9</v>
      </c>
      <c r="R18" s="292">
        <f>IF(Plod.25!AI18=0,0,Plod.25!AI18)</f>
        <v>4.5999999999999996</v>
      </c>
      <c r="S18" s="204"/>
      <c r="T18" s="202">
        <f t="shared" si="2"/>
        <v>0</v>
      </c>
      <c r="U18" s="203">
        <f t="shared" si="5"/>
        <v>0</v>
      </c>
      <c r="V18" s="204"/>
      <c r="W18" s="204"/>
      <c r="X18" s="204"/>
    </row>
    <row r="19" spans="2:24" s="5" customFormat="1" ht="14.25" customHeight="1" x14ac:dyDescent="0.25">
      <c r="B19" s="226" t="s">
        <v>84</v>
      </c>
      <c r="C19" s="40"/>
      <c r="D19" s="297">
        <f>Plod.25!D19</f>
        <v>0</v>
      </c>
      <c r="E19" s="298"/>
      <c r="F19" s="299"/>
      <c r="G19" s="299"/>
      <c r="H19" s="300">
        <f t="shared" si="3"/>
        <v>0</v>
      </c>
      <c r="I19" s="301">
        <f t="shared" si="4"/>
        <v>0</v>
      </c>
      <c r="J19" s="201" t="str">
        <f t="shared" si="0"/>
        <v/>
      </c>
      <c r="K19" s="201" t="str">
        <f t="shared" si="1"/>
        <v/>
      </c>
      <c r="N19" s="57" t="str">
        <f>IF(Plod.25!AE19=0,"",Plod.25!AE19)</f>
        <v>zrno</v>
      </c>
      <c r="O19" s="38">
        <f>IF(Plod.25!AF19=0,0,Plod.25!AF19)</f>
        <v>0.86</v>
      </c>
      <c r="P19" s="292">
        <f>IF(Plod.25!AG19=0,0,Plod.25!AG19)</f>
        <v>15.8</v>
      </c>
      <c r="Q19" s="292">
        <f>IF(Plod.25!AH19=0,0,Plod.25!AH19)</f>
        <v>3.5</v>
      </c>
      <c r="R19" s="292">
        <f>IF(Plod.25!AI19=0,0,Plod.25!AI19)</f>
        <v>4.5999999999999996</v>
      </c>
      <c r="S19" s="204"/>
      <c r="T19" s="202">
        <f t="shared" si="2"/>
        <v>0</v>
      </c>
      <c r="U19" s="203">
        <f t="shared" si="5"/>
        <v>0</v>
      </c>
      <c r="V19" s="204"/>
      <c r="W19" s="204"/>
      <c r="X19" s="204"/>
    </row>
    <row r="20" spans="2:24" s="5" customFormat="1" ht="14.25" customHeight="1" x14ac:dyDescent="0.25">
      <c r="B20" s="226" t="s">
        <v>169</v>
      </c>
      <c r="C20" s="40"/>
      <c r="D20" s="297">
        <f>Plod.25!D20</f>
        <v>0</v>
      </c>
      <c r="E20" s="298"/>
      <c r="F20" s="299"/>
      <c r="G20" s="299"/>
      <c r="H20" s="300">
        <f t="shared" si="3"/>
        <v>0</v>
      </c>
      <c r="I20" s="301">
        <f t="shared" si="4"/>
        <v>0</v>
      </c>
      <c r="J20" s="201" t="str">
        <f t="shared" si="0"/>
        <v/>
      </c>
      <c r="K20" s="201" t="str">
        <f t="shared" si="1"/>
        <v/>
      </c>
      <c r="N20" s="57" t="str">
        <f>IF(Plod.25!AE20=0,"",Plod.25!AE20)</f>
        <v>zrno</v>
      </c>
      <c r="O20" s="38">
        <f>IF(Plod.25!AF20=0,0,Plod.25!AF20)</f>
        <v>0.91</v>
      </c>
      <c r="P20" s="292">
        <f>IF(Plod.25!AG20=0,0,Plod.25!AG20)</f>
        <v>17.899999999999999</v>
      </c>
      <c r="Q20" s="292">
        <f>IF(Plod.25!AH20=0,0,Plod.25!AH20)</f>
        <v>2.8</v>
      </c>
      <c r="R20" s="292">
        <f>IF(Plod.25!AI20=0,0,Plod.25!AI20)</f>
        <v>3.3</v>
      </c>
      <c r="S20" s="204"/>
      <c r="T20" s="202">
        <f t="shared" si="2"/>
        <v>0</v>
      </c>
      <c r="U20" s="203">
        <f t="shared" si="5"/>
        <v>0</v>
      </c>
      <c r="V20" s="204"/>
      <c r="W20" s="204"/>
      <c r="X20" s="204"/>
    </row>
    <row r="21" spans="2:24" s="5" customFormat="1" ht="14.25" customHeight="1" x14ac:dyDescent="0.25">
      <c r="B21" s="226" t="s">
        <v>560</v>
      </c>
      <c r="C21" s="40"/>
      <c r="D21" s="297">
        <f>Plod.25!D21</f>
        <v>0</v>
      </c>
      <c r="E21" s="298"/>
      <c r="F21" s="299"/>
      <c r="G21" s="299"/>
      <c r="H21" s="300">
        <f t="shared" si="3"/>
        <v>0</v>
      </c>
      <c r="I21" s="301">
        <f t="shared" si="4"/>
        <v>0</v>
      </c>
      <c r="J21" s="201" t="str">
        <f t="shared" si="0"/>
        <v/>
      </c>
      <c r="K21" s="201" t="str">
        <f t="shared" si="1"/>
        <v/>
      </c>
      <c r="N21" s="57" t="str">
        <f>IF(Plod.25!AE21=0,"",Plod.25!AE21)</f>
        <v>zrno</v>
      </c>
      <c r="O21" s="38">
        <f>IF(Plod.25!AF21=0,0,Plod.25!AF21)</f>
        <v>0.86</v>
      </c>
      <c r="P21" s="292">
        <f>IF(Plod.25!AG21=0,0,Plod.25!AG21)</f>
        <v>18</v>
      </c>
      <c r="Q21" s="292">
        <f>IF(Plod.25!AH21=0,0,Plod.25!AH21)</f>
        <v>3</v>
      </c>
      <c r="R21" s="292">
        <f>IF(Plod.25!AI21=0,0,Plod.25!AI21)</f>
        <v>4</v>
      </c>
      <c r="S21" s="204"/>
      <c r="T21" s="202">
        <f t="shared" si="2"/>
        <v>0</v>
      </c>
      <c r="U21" s="203">
        <f t="shared" si="5"/>
        <v>0</v>
      </c>
      <c r="V21" s="204"/>
      <c r="W21" s="204"/>
      <c r="X21" s="204"/>
    </row>
    <row r="22" spans="2:24" s="5" customFormat="1" ht="14.25" customHeight="1" x14ac:dyDescent="0.25">
      <c r="B22" s="226" t="s">
        <v>559</v>
      </c>
      <c r="C22" s="40"/>
      <c r="D22" s="297">
        <f>Plod.25!D22</f>
        <v>0</v>
      </c>
      <c r="E22" s="298"/>
      <c r="F22" s="299"/>
      <c r="G22" s="299"/>
      <c r="H22" s="300">
        <f t="shared" si="3"/>
        <v>0</v>
      </c>
      <c r="I22" s="301">
        <f t="shared" si="4"/>
        <v>0</v>
      </c>
      <c r="J22" s="201" t="str">
        <f t="shared" si="0"/>
        <v/>
      </c>
      <c r="K22" s="201" t="str">
        <f t="shared" si="1"/>
        <v/>
      </c>
      <c r="N22" s="57" t="str">
        <f>IF(Plod.25!AE22=0,"",Plod.25!AE22)</f>
        <v>zrno</v>
      </c>
      <c r="O22" s="38">
        <f>IF(Plod.25!AF22=0,0,Plod.25!AF22)</f>
        <v>0.86</v>
      </c>
      <c r="P22" s="292">
        <f>IF(Plod.25!AG22=0,0,Plod.25!AG22)</f>
        <v>20.7</v>
      </c>
      <c r="Q22" s="292">
        <f>IF(Plod.25!AH22=0,0,Plod.25!AH22)</f>
        <v>3.4</v>
      </c>
      <c r="R22" s="292">
        <f>IF(Plod.25!AI22=0,0,Plod.25!AI22)</f>
        <v>6.5</v>
      </c>
      <c r="S22" s="204"/>
      <c r="T22" s="202">
        <f t="shared" si="2"/>
        <v>0</v>
      </c>
      <c r="U22" s="203">
        <f t="shared" si="5"/>
        <v>0</v>
      </c>
      <c r="V22" s="204"/>
      <c r="W22" s="204"/>
      <c r="X22" s="204"/>
    </row>
    <row r="23" spans="2:24" s="5" customFormat="1" ht="14.25" customHeight="1" x14ac:dyDescent="0.25">
      <c r="B23" s="226" t="s">
        <v>315</v>
      </c>
      <c r="C23" s="40"/>
      <c r="D23" s="297">
        <f>Plod.25!D23</f>
        <v>0</v>
      </c>
      <c r="E23" s="298"/>
      <c r="F23" s="299"/>
      <c r="G23" s="299"/>
      <c r="H23" s="300">
        <f t="shared" si="3"/>
        <v>0</v>
      </c>
      <c r="I23" s="301">
        <f t="shared" si="4"/>
        <v>0</v>
      </c>
      <c r="J23" s="201" t="str">
        <f t="shared" si="0"/>
        <v/>
      </c>
      <c r="K23" s="201" t="str">
        <f t="shared" si="1"/>
        <v/>
      </c>
      <c r="N23" s="57" t="str">
        <f>IF(Plod.25!AE23=0,"",Plod.25!AE23)</f>
        <v>zrno</v>
      </c>
      <c r="O23" s="38">
        <f>IF(Plod.25!AF23=0,0,Plod.25!AF23)</f>
        <v>0.86</v>
      </c>
      <c r="P23" s="292">
        <f>IF(Plod.25!AG23=0,0,Plod.25!AG23)</f>
        <v>35.9</v>
      </c>
      <c r="Q23" s="292">
        <f>IF(Plod.25!AH23=0,0,Plod.25!AH23)</f>
        <v>3.6</v>
      </c>
      <c r="R23" s="292">
        <f>IF(Plod.25!AI23=0,0,Plod.25!AI23)</f>
        <v>8.4</v>
      </c>
      <c r="S23" s="204"/>
      <c r="T23" s="202">
        <f t="shared" si="2"/>
        <v>0</v>
      </c>
      <c r="U23" s="203">
        <f t="shared" si="5"/>
        <v>0</v>
      </c>
      <c r="V23" s="204"/>
      <c r="W23" s="204"/>
      <c r="X23" s="204"/>
    </row>
    <row r="24" spans="2:24" s="5" customFormat="1" ht="14.25" customHeight="1" x14ac:dyDescent="0.25">
      <c r="B24" s="226" t="s">
        <v>89</v>
      </c>
      <c r="C24" s="40"/>
      <c r="D24" s="297">
        <f>Plod.25!D24</f>
        <v>0</v>
      </c>
      <c r="E24" s="298"/>
      <c r="F24" s="299"/>
      <c r="G24" s="299"/>
      <c r="H24" s="300">
        <f t="shared" si="3"/>
        <v>0</v>
      </c>
      <c r="I24" s="301">
        <f t="shared" si="4"/>
        <v>0</v>
      </c>
      <c r="J24" s="201" t="str">
        <f t="shared" si="0"/>
        <v/>
      </c>
      <c r="K24" s="201" t="str">
        <f t="shared" si="1"/>
        <v/>
      </c>
      <c r="N24" s="57" t="str">
        <f>IF(Plod.25!AE24=0,"",Plod.25!AE24)</f>
        <v>zrno</v>
      </c>
      <c r="O24" s="38">
        <f>IF(Plod.25!AF24=0,0,Plod.25!AF24)</f>
        <v>0.86</v>
      </c>
      <c r="P24" s="292">
        <f>IF(Plod.25!AG24=0,0,Plod.25!AG24)</f>
        <v>55.6</v>
      </c>
      <c r="Q24" s="292">
        <f>IF(Plod.25!AH24=0,0,Plod.25!AH24)</f>
        <v>7</v>
      </c>
      <c r="R24" s="292">
        <f>IF(Plod.25!AI24=0,0,Plod.25!AI24)</f>
        <v>13.1</v>
      </c>
      <c r="S24" s="204"/>
      <c r="T24" s="202">
        <f t="shared" si="2"/>
        <v>0</v>
      </c>
      <c r="U24" s="203">
        <f t="shared" si="5"/>
        <v>0</v>
      </c>
      <c r="V24" s="204"/>
      <c r="W24" s="204"/>
      <c r="X24" s="204"/>
    </row>
    <row r="25" spans="2:24" s="5" customFormat="1" ht="14.25" customHeight="1" x14ac:dyDescent="0.25">
      <c r="B25" s="226" t="s">
        <v>316</v>
      </c>
      <c r="C25" s="40"/>
      <c r="D25" s="297">
        <f>Plod.25!D25</f>
        <v>0</v>
      </c>
      <c r="E25" s="298"/>
      <c r="F25" s="299"/>
      <c r="G25" s="299"/>
      <c r="H25" s="300">
        <f t="shared" si="3"/>
        <v>0</v>
      </c>
      <c r="I25" s="301">
        <f t="shared" si="4"/>
        <v>0</v>
      </c>
      <c r="J25" s="201" t="str">
        <f t="shared" si="0"/>
        <v/>
      </c>
      <c r="K25" s="201" t="str">
        <f t="shared" si="1"/>
        <v/>
      </c>
      <c r="N25" s="57" t="str">
        <f>IF(Plod.25!AE25=0,"",Plod.25!AE25)</f>
        <v>zrno</v>
      </c>
      <c r="O25" s="38">
        <f>IF(Plod.25!AF25=0,0,Plod.25!AF25)</f>
        <v>0.86</v>
      </c>
      <c r="P25" s="292">
        <f>IF(Plod.25!AG25=0,0,Plod.25!AG25)</f>
        <v>42.4</v>
      </c>
      <c r="Q25" s="292">
        <f>IF(Plod.25!AH25=0,0,Plod.25!AH25)</f>
        <v>4.5999999999999996</v>
      </c>
      <c r="R25" s="292">
        <f>IF(Plod.25!AI25=0,0,Plod.25!AI25)</f>
        <v>10.199999999999999</v>
      </c>
      <c r="S25" s="204"/>
      <c r="T25" s="202">
        <f t="shared" si="2"/>
        <v>0</v>
      </c>
      <c r="U25" s="203">
        <f t="shared" si="5"/>
        <v>0</v>
      </c>
      <c r="V25" s="204"/>
      <c r="W25" s="204"/>
      <c r="X25" s="204"/>
    </row>
    <row r="26" spans="2:24" s="5" customFormat="1" ht="14.25" customHeight="1" x14ac:dyDescent="0.25">
      <c r="B26" s="226" t="s">
        <v>563</v>
      </c>
      <c r="C26" s="40"/>
      <c r="D26" s="297">
        <f>Plod.25!D26</f>
        <v>0</v>
      </c>
      <c r="E26" s="298"/>
      <c r="F26" s="299"/>
      <c r="G26" s="299"/>
      <c r="H26" s="300">
        <f t="shared" si="3"/>
        <v>0</v>
      </c>
      <c r="I26" s="301">
        <f t="shared" si="4"/>
        <v>0</v>
      </c>
      <c r="J26" s="201" t="str">
        <f t="shared" si="0"/>
        <v/>
      </c>
      <c r="K26" s="201" t="str">
        <f t="shared" si="1"/>
        <v/>
      </c>
      <c r="N26" s="57" t="str">
        <f>IF(Plod.25!AE26=0,"",Plod.25!AE26)</f>
        <v>zrno</v>
      </c>
      <c r="O26" s="38">
        <f>IF(Plod.25!AF26=0,0,Plod.25!AF26)</f>
        <v>0.86</v>
      </c>
      <c r="P26" s="292">
        <f>IF(Plod.25!AG26=0,0,Plod.25!AG26)</f>
        <v>40</v>
      </c>
      <c r="Q26" s="292">
        <f>IF(Plod.25!AH26=0,0,Plod.25!AH26)</f>
        <v>4</v>
      </c>
      <c r="R26" s="292">
        <f>IF(Plod.25!AI26=0,0,Plod.25!AI26)</f>
        <v>10</v>
      </c>
      <c r="S26" s="204"/>
      <c r="T26" s="202">
        <f t="shared" si="2"/>
        <v>0</v>
      </c>
      <c r="U26" s="203">
        <f t="shared" si="5"/>
        <v>0</v>
      </c>
      <c r="V26" s="204"/>
      <c r="W26" s="204"/>
      <c r="X26" s="204"/>
    </row>
    <row r="27" spans="2:24" s="5" customFormat="1" ht="14.25" customHeight="1" x14ac:dyDescent="0.25">
      <c r="B27" s="681" t="s">
        <v>188</v>
      </c>
      <c r="C27" s="37" t="s">
        <v>186</v>
      </c>
      <c r="D27" s="297">
        <f>Plod.25!D27</f>
        <v>0</v>
      </c>
      <c r="E27" s="298"/>
      <c r="F27" s="299"/>
      <c r="G27" s="299"/>
      <c r="H27" s="300">
        <f t="shared" si="3"/>
        <v>0</v>
      </c>
      <c r="I27" s="301">
        <f t="shared" si="4"/>
        <v>0</v>
      </c>
      <c r="J27" s="201" t="str">
        <f t="shared" si="0"/>
        <v/>
      </c>
      <c r="K27" s="201" t="str">
        <f t="shared" si="1"/>
        <v/>
      </c>
      <c r="N27" s="57" t="str">
        <f>IF(Plod.25!AE27=0,"",Plod.25!AE27)</f>
        <v>hlízy</v>
      </c>
      <c r="O27" s="38">
        <f>IF(Plod.25!AF27=0,0,Plod.25!AF27)</f>
        <v>0.18</v>
      </c>
      <c r="P27" s="292">
        <f>IF(Plod.25!AG27=0,0,Plod.25!AG27)</f>
        <v>3</v>
      </c>
      <c r="Q27" s="292">
        <f>IF(Plod.25!AH27=0,0,Plod.25!AH27)</f>
        <v>0.5</v>
      </c>
      <c r="R27" s="292">
        <f>IF(Plod.25!AI27=0,0,Plod.25!AI27)</f>
        <v>4.4000000000000004</v>
      </c>
      <c r="S27" s="204"/>
      <c r="T27" s="202">
        <f t="shared" si="2"/>
        <v>0</v>
      </c>
      <c r="U27" s="203">
        <f t="shared" si="5"/>
        <v>0</v>
      </c>
      <c r="V27" s="204"/>
      <c r="W27" s="204"/>
      <c r="X27" s="204"/>
    </row>
    <row r="28" spans="2:24" s="5" customFormat="1" ht="14.25" customHeight="1" x14ac:dyDescent="0.25">
      <c r="B28" s="682"/>
      <c r="C28" s="37" t="s">
        <v>102</v>
      </c>
      <c r="D28" s="297">
        <f>Plod.25!D28</f>
        <v>0</v>
      </c>
      <c r="E28" s="298"/>
      <c r="F28" s="299"/>
      <c r="G28" s="299"/>
      <c r="H28" s="300">
        <f t="shared" si="3"/>
        <v>0</v>
      </c>
      <c r="I28" s="301">
        <f t="shared" si="4"/>
        <v>0</v>
      </c>
      <c r="J28" s="201" t="str">
        <f t="shared" si="0"/>
        <v/>
      </c>
      <c r="K28" s="201" t="str">
        <f t="shared" si="1"/>
        <v/>
      </c>
      <c r="N28" s="57" t="str">
        <f>IF(Plod.25!AE28=0,"",Plod.25!AE28)</f>
        <v>hlízy</v>
      </c>
      <c r="O28" s="38">
        <f>IF(Plod.25!AF28=0,0,Plod.25!AF28)</f>
        <v>0.22</v>
      </c>
      <c r="P28" s="292">
        <f>IF(Plod.25!AG28=0,0,Plod.25!AG28)</f>
        <v>3.5</v>
      </c>
      <c r="Q28" s="292">
        <f>IF(Plod.25!AH28=0,0,Plod.25!AH28)</f>
        <v>0.5</v>
      </c>
      <c r="R28" s="292">
        <f>IF(Plod.25!AI28=0,0,Plod.25!AI28)</f>
        <v>4.5</v>
      </c>
      <c r="S28" s="204"/>
      <c r="T28" s="202">
        <f t="shared" si="2"/>
        <v>0</v>
      </c>
      <c r="U28" s="203">
        <f t="shared" si="5"/>
        <v>0</v>
      </c>
      <c r="V28" s="204"/>
      <c r="W28" s="204"/>
      <c r="X28" s="204"/>
    </row>
    <row r="29" spans="2:24" s="5" customFormat="1" ht="14.25" customHeight="1" x14ac:dyDescent="0.25">
      <c r="B29" s="226" t="s">
        <v>238</v>
      </c>
      <c r="C29" s="40"/>
      <c r="D29" s="297">
        <f>Plod.25!D29</f>
        <v>0</v>
      </c>
      <c r="E29" s="298"/>
      <c r="F29" s="299"/>
      <c r="G29" s="299"/>
      <c r="H29" s="300">
        <f t="shared" si="3"/>
        <v>0</v>
      </c>
      <c r="I29" s="301">
        <f t="shared" si="4"/>
        <v>0</v>
      </c>
      <c r="J29" s="201" t="str">
        <f t="shared" si="0"/>
        <v/>
      </c>
      <c r="K29" s="201" t="str">
        <f t="shared" si="1"/>
        <v/>
      </c>
      <c r="N29" s="57" t="str">
        <f>IF(Plod.25!AE29=0,"",Plod.25!AE29)</f>
        <v>bulvy</v>
      </c>
      <c r="O29" s="38">
        <f>IF(Plod.25!AF29=0,0,Plod.25!AF29)</f>
        <v>0.23</v>
      </c>
      <c r="P29" s="292">
        <f>IF(Plod.25!AG29=0,0,Plod.25!AG29)</f>
        <v>1.8</v>
      </c>
      <c r="Q29" s="292">
        <f>IF(Plod.25!AH29=0,0,Plod.25!AH29)</f>
        <v>0.3</v>
      </c>
      <c r="R29" s="292">
        <f>IF(Plod.25!AI29=0,0,Plod.25!AI29)</f>
        <v>2</v>
      </c>
      <c r="S29" s="204"/>
      <c r="T29" s="202">
        <f t="shared" si="2"/>
        <v>0</v>
      </c>
      <c r="U29" s="203">
        <f t="shared" si="5"/>
        <v>0</v>
      </c>
      <c r="V29" s="204"/>
      <c r="W29" s="204"/>
      <c r="X29" s="204"/>
    </row>
    <row r="30" spans="2:24" s="5" customFormat="1" ht="14.25" customHeight="1" x14ac:dyDescent="0.25">
      <c r="B30" s="226" t="s">
        <v>239</v>
      </c>
      <c r="C30" s="40"/>
      <c r="D30" s="297">
        <f>Plod.25!D30</f>
        <v>0</v>
      </c>
      <c r="E30" s="298"/>
      <c r="F30" s="299"/>
      <c r="G30" s="299"/>
      <c r="H30" s="300">
        <f t="shared" si="3"/>
        <v>0</v>
      </c>
      <c r="I30" s="301">
        <f t="shared" si="4"/>
        <v>0</v>
      </c>
      <c r="J30" s="201" t="str">
        <f t="shared" si="0"/>
        <v/>
      </c>
      <c r="K30" s="201" t="str">
        <f t="shared" si="1"/>
        <v/>
      </c>
      <c r="N30" s="57" t="str">
        <f>IF(Plod.25!AE30=0,"",Plod.25!AE30)</f>
        <v>bulvy</v>
      </c>
      <c r="O30" s="38">
        <f>IF(Plod.25!AF30=0,0,Plod.25!AF30)</f>
        <v>0.17</v>
      </c>
      <c r="P30" s="292">
        <f>IF(Plod.25!AG30=0,0,Plod.25!AG30)</f>
        <v>1.4</v>
      </c>
      <c r="Q30" s="292">
        <f>IF(Plod.25!AH30=0,0,Plod.25!AH30)</f>
        <v>0.3</v>
      </c>
      <c r="R30" s="292">
        <f>IF(Plod.25!AI30=0,0,Plod.25!AI30)</f>
        <v>1.3</v>
      </c>
      <c r="S30" s="204"/>
      <c r="T30" s="202">
        <f t="shared" si="2"/>
        <v>0</v>
      </c>
      <c r="U30" s="203">
        <f t="shared" si="5"/>
        <v>0</v>
      </c>
      <c r="V30" s="204"/>
      <c r="W30" s="204"/>
      <c r="X30" s="204"/>
    </row>
    <row r="31" spans="2:24" s="5" customFormat="1" ht="14.25" customHeight="1" x14ac:dyDescent="0.25">
      <c r="B31" s="226" t="s">
        <v>564</v>
      </c>
      <c r="C31" s="40"/>
      <c r="D31" s="297">
        <f>Plod.25!D31</f>
        <v>0</v>
      </c>
      <c r="E31" s="298"/>
      <c r="F31" s="299"/>
      <c r="G31" s="299"/>
      <c r="H31" s="300">
        <f t="shared" si="3"/>
        <v>0</v>
      </c>
      <c r="I31" s="301">
        <f t="shared" si="4"/>
        <v>0</v>
      </c>
      <c r="J31" s="201" t="str">
        <f t="shared" si="0"/>
        <v/>
      </c>
      <c r="K31" s="201" t="str">
        <f t="shared" si="1"/>
        <v/>
      </c>
      <c r="N31" s="57" t="str">
        <f>IF(Plod.25!AE31=0,"",Plod.25!AE31)</f>
        <v>hlízy, bulvy</v>
      </c>
      <c r="O31" s="38">
        <f>IF(Plod.25!AF31=0,0,Plod.25!AF31)</f>
        <v>0.22</v>
      </c>
      <c r="P31" s="292">
        <f>IF(Plod.25!AG31=0,0,Plod.25!AG31)</f>
        <v>2.5</v>
      </c>
      <c r="Q31" s="292">
        <f>IF(Plod.25!AH31=0,0,Plod.25!AH31)</f>
        <v>0.4</v>
      </c>
      <c r="R31" s="292">
        <f>IF(Plod.25!AI31=0,0,Plod.25!AI31)</f>
        <v>3.5</v>
      </c>
      <c r="S31" s="204"/>
      <c r="T31" s="202">
        <f t="shared" si="2"/>
        <v>0</v>
      </c>
      <c r="U31" s="203">
        <f t="shared" si="5"/>
        <v>0</v>
      </c>
      <c r="V31" s="204"/>
      <c r="W31" s="204"/>
      <c r="X31" s="204"/>
    </row>
    <row r="32" spans="2:24" s="5" customFormat="1" ht="14.25" customHeight="1" x14ac:dyDescent="0.25">
      <c r="B32" s="226" t="s">
        <v>565</v>
      </c>
      <c r="C32" s="40"/>
      <c r="D32" s="297">
        <f>Plod.25!D32</f>
        <v>0</v>
      </c>
      <c r="E32" s="298"/>
      <c r="F32" s="299"/>
      <c r="G32" s="299"/>
      <c r="H32" s="300">
        <f t="shared" si="3"/>
        <v>0</v>
      </c>
      <c r="I32" s="301">
        <f t="shared" si="4"/>
        <v>0</v>
      </c>
      <c r="J32" s="201" t="str">
        <f t="shared" si="0"/>
        <v/>
      </c>
      <c r="K32" s="201" t="str">
        <f t="shared" si="1"/>
        <v/>
      </c>
      <c r="N32" s="57" t="str">
        <f>IF(Plod.25!AE32=0,"",Plod.25!AE32)</f>
        <v>semeno</v>
      </c>
      <c r="O32" s="38">
        <f>IF(Plod.25!AF32=0,0,Plod.25!AF32)</f>
        <v>0.92</v>
      </c>
      <c r="P32" s="292">
        <f>IF(Plod.25!AG32=0,0,Plod.25!AG32)</f>
        <v>34.200000000000003</v>
      </c>
      <c r="Q32" s="292">
        <f>IF(Plod.25!AH32=0,0,Plod.25!AH32)</f>
        <v>7.2</v>
      </c>
      <c r="R32" s="292">
        <f>IF(Plod.25!AI32=0,0,Plod.25!AI32)</f>
        <v>7.9</v>
      </c>
      <c r="S32" s="204"/>
      <c r="T32" s="202">
        <f t="shared" si="2"/>
        <v>0</v>
      </c>
      <c r="U32" s="203">
        <f t="shared" si="5"/>
        <v>0</v>
      </c>
      <c r="V32" s="204"/>
      <c r="W32" s="204"/>
      <c r="X32" s="204"/>
    </row>
    <row r="33" spans="2:24" s="5" customFormat="1" ht="14.25" customHeight="1" x14ac:dyDescent="0.25">
      <c r="B33" s="226" t="s">
        <v>90</v>
      </c>
      <c r="C33" s="40"/>
      <c r="D33" s="297">
        <f>Plod.25!D33</f>
        <v>0</v>
      </c>
      <c r="E33" s="298"/>
      <c r="F33" s="299"/>
      <c r="G33" s="299"/>
      <c r="H33" s="300">
        <f t="shared" si="3"/>
        <v>0</v>
      </c>
      <c r="I33" s="301">
        <f t="shared" si="4"/>
        <v>0</v>
      </c>
      <c r="J33" s="201" t="str">
        <f t="shared" si="0"/>
        <v/>
      </c>
      <c r="K33" s="201" t="str">
        <f t="shared" si="1"/>
        <v/>
      </c>
      <c r="N33" s="57" t="str">
        <f>IF(Plod.25!AE33=0,"",Plod.25!AE33)</f>
        <v>semeno</v>
      </c>
      <c r="O33" s="38">
        <f>IF(Plod.25!AF33=0,0,Plod.25!AF33)</f>
        <v>0.92</v>
      </c>
      <c r="P33" s="292">
        <f>IF(Plod.25!AG33=0,0,Plod.25!AG33)</f>
        <v>28</v>
      </c>
      <c r="Q33" s="292">
        <f>IF(Plod.25!AH33=0,0,Plod.25!AH33)</f>
        <v>7</v>
      </c>
      <c r="R33" s="292">
        <f>IF(Plod.25!AI33=0,0,Plod.25!AI33)</f>
        <v>19.899999999999999</v>
      </c>
      <c r="S33" s="204"/>
      <c r="T33" s="202">
        <f t="shared" si="2"/>
        <v>0</v>
      </c>
      <c r="U33" s="203">
        <f t="shared" si="5"/>
        <v>0</v>
      </c>
      <c r="V33" s="204"/>
      <c r="W33" s="204"/>
      <c r="X33" s="204"/>
    </row>
    <row r="34" spans="2:24" s="5" customFormat="1" ht="14.25" customHeight="1" x14ac:dyDescent="0.25">
      <c r="B34" s="226" t="s">
        <v>85</v>
      </c>
      <c r="C34" s="40"/>
      <c r="D34" s="297">
        <f>Plod.25!D34</f>
        <v>0</v>
      </c>
      <c r="E34" s="298"/>
      <c r="F34" s="299"/>
      <c r="G34" s="299"/>
      <c r="H34" s="300">
        <f t="shared" si="3"/>
        <v>0</v>
      </c>
      <c r="I34" s="301">
        <f t="shared" si="4"/>
        <v>0</v>
      </c>
      <c r="J34" s="201" t="str">
        <f t="shared" si="0"/>
        <v/>
      </c>
      <c r="K34" s="201" t="str">
        <f t="shared" si="1"/>
        <v/>
      </c>
      <c r="N34" s="57" t="str">
        <f>IF(Plod.25!AE34=0,"",Plod.25!AE34)</f>
        <v>semeno</v>
      </c>
      <c r="O34" s="38">
        <f>IF(Plod.25!AF34=0,0,Plod.25!AF34)</f>
        <v>0.86</v>
      </c>
      <c r="P34" s="292">
        <f>IF(Plod.25!AG34=0,0,Plod.25!AG34)</f>
        <v>54.6</v>
      </c>
      <c r="Q34" s="292">
        <f>IF(Plod.25!AH34=0,0,Plod.25!AH34)</f>
        <v>7.3</v>
      </c>
      <c r="R34" s="292">
        <f>IF(Plod.25!AI34=0,0,Plod.25!AI34)</f>
        <v>18.899999999999999</v>
      </c>
      <c r="S34" s="204"/>
      <c r="T34" s="202">
        <f t="shared" si="2"/>
        <v>0</v>
      </c>
      <c r="U34" s="203">
        <f t="shared" si="5"/>
        <v>0</v>
      </c>
      <c r="V34" s="204"/>
      <c r="W34" s="204"/>
      <c r="X34" s="204"/>
    </row>
    <row r="35" spans="2:24" s="5" customFormat="1" ht="14.25" customHeight="1" x14ac:dyDescent="0.25">
      <c r="B35" s="226" t="s">
        <v>86</v>
      </c>
      <c r="C35" s="40"/>
      <c r="D35" s="297">
        <f>Plod.25!D35</f>
        <v>0</v>
      </c>
      <c r="E35" s="298"/>
      <c r="F35" s="299"/>
      <c r="G35" s="299"/>
      <c r="H35" s="300">
        <f t="shared" si="3"/>
        <v>0</v>
      </c>
      <c r="I35" s="301">
        <f t="shared" si="4"/>
        <v>0</v>
      </c>
      <c r="J35" s="201" t="str">
        <f t="shared" si="0"/>
        <v/>
      </c>
      <c r="K35" s="201" t="str">
        <f t="shared" si="1"/>
        <v/>
      </c>
      <c r="N35" s="57" t="str">
        <f>IF(Plod.25!AE35=0,"",Plod.25!AE35)</f>
        <v>semeno</v>
      </c>
      <c r="O35" s="38">
        <f>IF(Plod.25!AF35=0,0,Plod.25!AF35)</f>
        <v>0.92</v>
      </c>
      <c r="P35" s="292">
        <f>IF(Plod.25!AG35=0,0,Plod.25!AG35)</f>
        <v>33.200000000000003</v>
      </c>
      <c r="Q35" s="292">
        <f>IF(Plod.25!AH35=0,0,Plod.25!AH35)</f>
        <v>7.6</v>
      </c>
      <c r="R35" s="292">
        <f>IF(Plod.25!AI35=0,0,Plod.25!AI35)</f>
        <v>8.1999999999999993</v>
      </c>
      <c r="S35" s="204"/>
      <c r="T35" s="202">
        <f t="shared" si="2"/>
        <v>0</v>
      </c>
      <c r="U35" s="203">
        <f t="shared" si="5"/>
        <v>0</v>
      </c>
      <c r="V35" s="204"/>
      <c r="W35" s="204"/>
      <c r="X35" s="204"/>
    </row>
    <row r="36" spans="2:24" s="5" customFormat="1" ht="14.25" customHeight="1" x14ac:dyDescent="0.25">
      <c r="B36" s="226" t="s">
        <v>91</v>
      </c>
      <c r="C36" s="40"/>
      <c r="D36" s="297">
        <f>Plod.25!D36</f>
        <v>0</v>
      </c>
      <c r="E36" s="298"/>
      <c r="F36" s="299"/>
      <c r="G36" s="299"/>
      <c r="H36" s="300">
        <f t="shared" si="3"/>
        <v>0</v>
      </c>
      <c r="I36" s="301">
        <f t="shared" si="4"/>
        <v>0</v>
      </c>
      <c r="J36" s="201" t="str">
        <f t="shared" si="0"/>
        <v/>
      </c>
      <c r="K36" s="201" t="str">
        <f t="shared" si="1"/>
        <v/>
      </c>
      <c r="N36" s="57" t="str">
        <f>IF(Plod.25!AE36=0,"",Plod.25!AE36)</f>
        <v>semeno</v>
      </c>
      <c r="O36" s="38">
        <f>IF(Plod.25!AF36=0,0,Plod.25!AF36)</f>
        <v>0.92</v>
      </c>
      <c r="P36" s="292">
        <f>IF(Plod.25!AG36=0,0,Plod.25!AG36)</f>
        <v>50</v>
      </c>
      <c r="Q36" s="292">
        <f>IF(Plod.25!AH36=0,0,Plod.25!AH36)</f>
        <v>7.7</v>
      </c>
      <c r="R36" s="292">
        <f>IF(Plod.25!AI36=0,0,Plod.25!AI36)</f>
        <v>7.7</v>
      </c>
      <c r="S36" s="204"/>
      <c r="T36" s="202">
        <f t="shared" si="2"/>
        <v>0</v>
      </c>
      <c r="U36" s="203">
        <f t="shared" si="5"/>
        <v>0</v>
      </c>
      <c r="V36" s="204"/>
      <c r="W36" s="204"/>
      <c r="X36" s="204"/>
    </row>
    <row r="37" spans="2:24" s="5" customFormat="1" ht="14.25" customHeight="1" x14ac:dyDescent="0.25">
      <c r="B37" s="226" t="s">
        <v>92</v>
      </c>
      <c r="C37" s="40"/>
      <c r="D37" s="297">
        <f>Plod.25!D37</f>
        <v>0</v>
      </c>
      <c r="E37" s="298"/>
      <c r="F37" s="299"/>
      <c r="G37" s="299"/>
      <c r="H37" s="300">
        <f t="shared" si="3"/>
        <v>0</v>
      </c>
      <c r="I37" s="301">
        <f t="shared" si="4"/>
        <v>0</v>
      </c>
      <c r="J37" s="201" t="str">
        <f t="shared" si="0"/>
        <v/>
      </c>
      <c r="K37" s="201" t="str">
        <f t="shared" si="1"/>
        <v/>
      </c>
      <c r="N37" s="57" t="str">
        <f>IF(Plod.25!AE37=0,"",Plod.25!AE37)</f>
        <v>semeno</v>
      </c>
      <c r="O37" s="38">
        <f>IF(Plod.25!AF37=0,0,Plod.25!AF37)</f>
        <v>0.92</v>
      </c>
      <c r="P37" s="292">
        <f>IF(Plod.25!AG37=0,0,Plod.25!AG37)</f>
        <v>33.6</v>
      </c>
      <c r="Q37" s="292">
        <f>IF(Plod.25!AH37=0,0,Plod.25!AH37)</f>
        <v>6.6</v>
      </c>
      <c r="R37" s="292">
        <f>IF(Plod.25!AI37=0,0,Plod.25!AI37)</f>
        <v>8.3000000000000007</v>
      </c>
      <c r="S37" s="204"/>
      <c r="T37" s="202">
        <f t="shared" si="2"/>
        <v>0</v>
      </c>
      <c r="U37" s="203">
        <f t="shared" si="5"/>
        <v>0</v>
      </c>
      <c r="V37" s="204"/>
      <c r="W37" s="204"/>
      <c r="X37" s="204"/>
    </row>
    <row r="38" spans="2:24" s="5" customFormat="1" ht="14.25" customHeight="1" x14ac:dyDescent="0.25">
      <c r="B38" s="226" t="s">
        <v>87</v>
      </c>
      <c r="C38" s="40"/>
      <c r="D38" s="297">
        <f>Plod.25!D38</f>
        <v>0</v>
      </c>
      <c r="E38" s="298"/>
      <c r="F38" s="299"/>
      <c r="G38" s="299"/>
      <c r="H38" s="300">
        <f t="shared" si="3"/>
        <v>0</v>
      </c>
      <c r="I38" s="301">
        <f t="shared" si="4"/>
        <v>0</v>
      </c>
      <c r="J38" s="201" t="str">
        <f t="shared" si="0"/>
        <v/>
      </c>
      <c r="K38" s="201" t="str">
        <f t="shared" si="1"/>
        <v/>
      </c>
      <c r="N38" s="57" t="str">
        <f>IF(Plod.25!AE38=0,"",Plod.25!AE38)</f>
        <v>semeno</v>
      </c>
      <c r="O38" s="38">
        <f>IF(Plod.25!AF38=0,0,Plod.25!AF38)</f>
        <v>0.92</v>
      </c>
      <c r="P38" s="292">
        <f>IF(Plod.25!AG38=0,0,Plod.25!AG38)</f>
        <v>24.9</v>
      </c>
      <c r="Q38" s="292">
        <f>IF(Plod.25!AH38=0,0,Plod.25!AH38)</f>
        <v>4.5999999999999996</v>
      </c>
      <c r="R38" s="292">
        <f>IF(Plod.25!AI38=0,0,Plod.25!AI38)</f>
        <v>5.8</v>
      </c>
      <c r="S38" s="204"/>
      <c r="T38" s="202">
        <f t="shared" si="2"/>
        <v>0</v>
      </c>
      <c r="U38" s="203">
        <f t="shared" si="5"/>
        <v>0</v>
      </c>
      <c r="V38" s="204"/>
      <c r="W38" s="204"/>
      <c r="X38" s="204"/>
    </row>
    <row r="39" spans="2:24" s="5" customFormat="1" ht="14.25" customHeight="1" x14ac:dyDescent="0.25">
      <c r="B39" s="226" t="s">
        <v>566</v>
      </c>
      <c r="C39" s="40"/>
      <c r="D39" s="297">
        <f>Plod.25!D39</f>
        <v>0</v>
      </c>
      <c r="E39" s="298"/>
      <c r="F39" s="299"/>
      <c r="G39" s="299"/>
      <c r="H39" s="300">
        <f t="shared" si="3"/>
        <v>0</v>
      </c>
      <c r="I39" s="301">
        <f t="shared" si="4"/>
        <v>0</v>
      </c>
      <c r="J39" s="201" t="str">
        <f t="shared" si="0"/>
        <v/>
      </c>
      <c r="K39" s="201" t="str">
        <f t="shared" si="1"/>
        <v/>
      </c>
      <c r="N39" s="57" t="str">
        <f>IF(Plod.25!AE39=0,"",Plod.25!AE39)</f>
        <v>semeno</v>
      </c>
      <c r="O39" s="38">
        <f>IF(Plod.25!AF39=0,0,Plod.25!AF39)</f>
        <v>0.92</v>
      </c>
      <c r="P39" s="292">
        <f>IF(Plod.25!AG39=0,0,Plod.25!AG39)</f>
        <v>33</v>
      </c>
      <c r="Q39" s="292">
        <f>IF(Plod.25!AH39=0,0,Plod.25!AH39)</f>
        <v>7</v>
      </c>
      <c r="R39" s="292">
        <f>IF(Plod.25!AI39=0,0,Plod.25!AI39)</f>
        <v>8</v>
      </c>
      <c r="S39" s="204"/>
      <c r="T39" s="202">
        <f t="shared" si="2"/>
        <v>0</v>
      </c>
      <c r="U39" s="203">
        <f t="shared" si="5"/>
        <v>0</v>
      </c>
      <c r="V39" s="204"/>
      <c r="W39" s="204"/>
      <c r="X39" s="204"/>
    </row>
    <row r="40" spans="2:24" s="5" customFormat="1" ht="14.25" customHeight="1" x14ac:dyDescent="0.25">
      <c r="B40" s="226" t="s">
        <v>145</v>
      </c>
      <c r="C40" s="40"/>
      <c r="D40" s="297">
        <f>Plod.25!D40</f>
        <v>0</v>
      </c>
      <c r="E40" s="298"/>
      <c r="F40" s="298"/>
      <c r="G40" s="298"/>
      <c r="H40" s="300">
        <f t="shared" si="3"/>
        <v>0</v>
      </c>
      <c r="I40" s="301">
        <f t="shared" si="4"/>
        <v>0</v>
      </c>
      <c r="J40" s="201" t="str">
        <f t="shared" si="0"/>
        <v/>
      </c>
      <c r="K40" s="201" t="str">
        <f t="shared" si="1"/>
        <v/>
      </c>
      <c r="N40" s="57" t="str">
        <f>IF(Plod.25!AE40=0,"",Plod.25!AE40)</f>
        <v>semeno</v>
      </c>
      <c r="O40" s="38">
        <f>IF(Plod.25!AF40=0,0,Plod.25!AF40)</f>
        <v>0.92</v>
      </c>
      <c r="P40" s="292">
        <f>IF(Plod.25!AG40=0,0,Plod.25!AG40)</f>
        <v>33</v>
      </c>
      <c r="Q40" s="292">
        <f>IF(Plod.25!AH40=0,0,Plod.25!AH40)</f>
        <v>7</v>
      </c>
      <c r="R40" s="292">
        <f>IF(Plod.25!AI40=0,0,Plod.25!AI40)</f>
        <v>8</v>
      </c>
      <c r="S40" s="204"/>
      <c r="T40" s="202">
        <f t="shared" si="2"/>
        <v>0</v>
      </c>
      <c r="U40" s="203">
        <f t="shared" si="5"/>
        <v>0</v>
      </c>
      <c r="V40" s="204"/>
      <c r="W40" s="204"/>
      <c r="X40" s="204"/>
    </row>
    <row r="41" spans="2:24" s="5" customFormat="1" ht="14.25" customHeight="1" x14ac:dyDescent="0.25">
      <c r="B41" s="226" t="s">
        <v>189</v>
      </c>
      <c r="C41" s="41" t="s">
        <v>181</v>
      </c>
      <c r="D41" s="297">
        <f>Plod.25!D41</f>
        <v>0</v>
      </c>
      <c r="E41" s="298"/>
      <c r="F41" s="298"/>
      <c r="G41" s="298"/>
      <c r="H41" s="300">
        <f t="shared" si="3"/>
        <v>0</v>
      </c>
      <c r="I41" s="301">
        <f t="shared" ref="I41:I71" si="6">IF(E41=0,0,IF((E41-G41)/E41&lt;0.3,0,(E41-G41)*F41*P41/1000))</f>
        <v>0</v>
      </c>
      <c r="J41" s="201" t="str">
        <f t="shared" ref="J41:J71" si="7">IF(T41&lt;0,"!","")</f>
        <v/>
      </c>
      <c r="K41" s="201" t="str">
        <f t="shared" ref="K41:K71" si="8">IF(U41&lt;0,"!","")</f>
        <v/>
      </c>
      <c r="N41" s="57" t="str">
        <f>IF(Plod.25!AE41=0,"",Plod.25!AE41)</f>
        <v>zelená hmota</v>
      </c>
      <c r="O41" s="38">
        <f>IF(Plod.25!AF41=0,0,Plod.25!AF41)</f>
        <v>0.35</v>
      </c>
      <c r="P41" s="292">
        <f>IF(Plod.25!AG41=0,0,Plod.25!AG41)</f>
        <v>4.7</v>
      </c>
      <c r="Q41" s="292">
        <f>IF(Plod.25!AH41=0,0,Plod.25!AH41)</f>
        <v>0.7</v>
      </c>
      <c r="R41" s="292">
        <f>IF(Plod.25!AI41=0,0,Plod.25!AI41)</f>
        <v>4.4000000000000004</v>
      </c>
      <c r="S41" s="204"/>
      <c r="T41" s="202">
        <f t="shared" ref="T41:T71" si="9">D41-F41</f>
        <v>0</v>
      </c>
      <c r="U41" s="203">
        <f t="shared" ref="U41:U71" si="10">E41-G41</f>
        <v>0</v>
      </c>
      <c r="V41" s="204"/>
      <c r="W41" s="204"/>
      <c r="X41" s="204"/>
    </row>
    <row r="42" spans="2:24" s="5" customFormat="1" ht="14.25" customHeight="1" x14ac:dyDescent="0.25">
      <c r="B42" s="226" t="s">
        <v>582</v>
      </c>
      <c r="C42" s="41" t="s">
        <v>181</v>
      </c>
      <c r="D42" s="297">
        <f>Plod.25!D42</f>
        <v>0</v>
      </c>
      <c r="E42" s="298"/>
      <c r="F42" s="298"/>
      <c r="G42" s="298"/>
      <c r="H42" s="300">
        <f t="shared" si="3"/>
        <v>0</v>
      </c>
      <c r="I42" s="301">
        <f t="shared" si="6"/>
        <v>0</v>
      </c>
      <c r="J42" s="201" t="str">
        <f t="shared" si="7"/>
        <v/>
      </c>
      <c r="K42" s="201" t="str">
        <f t="shared" si="8"/>
        <v/>
      </c>
      <c r="N42" s="57" t="str">
        <f>IF(Plod.25!AE42=0,"",Plod.25!AE42)</f>
        <v>zelená hmota</v>
      </c>
      <c r="O42" s="38">
        <f>IF(Plod.25!AF42=0,0,Plod.25!AF42)</f>
        <v>0.35</v>
      </c>
      <c r="P42" s="292">
        <f>IF(Plod.25!AG42=0,0,Plod.25!AG42)</f>
        <v>4.7</v>
      </c>
      <c r="Q42" s="292">
        <f>IF(Plod.25!AH42=0,0,Plod.25!AH42)</f>
        <v>0.7</v>
      </c>
      <c r="R42" s="292">
        <f>IF(Plod.25!AI42=0,0,Plod.25!AI42)</f>
        <v>4.4000000000000004</v>
      </c>
      <c r="S42" s="204"/>
      <c r="T42" s="202">
        <f t="shared" si="9"/>
        <v>0</v>
      </c>
      <c r="U42" s="203">
        <f t="shared" si="10"/>
        <v>0</v>
      </c>
      <c r="V42" s="204"/>
      <c r="W42" s="204"/>
      <c r="X42" s="204"/>
    </row>
    <row r="43" spans="2:24" s="5" customFormat="1" ht="14.25" customHeight="1" x14ac:dyDescent="0.25">
      <c r="B43" s="226" t="s">
        <v>158</v>
      </c>
      <c r="C43" s="41" t="s">
        <v>181</v>
      </c>
      <c r="D43" s="297">
        <f>Plod.25!D43</f>
        <v>0</v>
      </c>
      <c r="E43" s="298"/>
      <c r="F43" s="298"/>
      <c r="G43" s="298"/>
      <c r="H43" s="300">
        <f t="shared" si="3"/>
        <v>0</v>
      </c>
      <c r="I43" s="301">
        <f t="shared" si="6"/>
        <v>0</v>
      </c>
      <c r="J43" s="201" t="str">
        <f t="shared" si="7"/>
        <v/>
      </c>
      <c r="K43" s="201" t="str">
        <f t="shared" si="8"/>
        <v/>
      </c>
      <c r="N43" s="57" t="str">
        <f>IF(Plod.25!AE43=0,"",Plod.25!AE43)</f>
        <v>zelená hmota</v>
      </c>
      <c r="O43" s="38">
        <f>IF(Plod.25!AF43=0,0,Plod.25!AF43)</f>
        <v>0.35</v>
      </c>
      <c r="P43" s="292">
        <f>IF(Plod.25!AG43=0,0,Plod.25!AG43)</f>
        <v>4.4000000000000004</v>
      </c>
      <c r="Q43" s="292">
        <f>IF(Plod.25!AH43=0,0,Plod.25!AH43)</f>
        <v>0.7</v>
      </c>
      <c r="R43" s="292">
        <f>IF(Plod.25!AI43=0,0,Plod.25!AI43)</f>
        <v>4</v>
      </c>
      <c r="S43" s="204"/>
      <c r="T43" s="202">
        <f t="shared" si="9"/>
        <v>0</v>
      </c>
      <c r="U43" s="203">
        <f t="shared" si="10"/>
        <v>0</v>
      </c>
      <c r="V43" s="204"/>
      <c r="W43" s="204"/>
      <c r="X43" s="204"/>
    </row>
    <row r="44" spans="2:24" s="5" customFormat="1" ht="14.25" customHeight="1" x14ac:dyDescent="0.25">
      <c r="B44" s="226" t="s">
        <v>579</v>
      </c>
      <c r="C44" s="41" t="s">
        <v>209</v>
      </c>
      <c r="D44" s="297">
        <f>Plod.25!D44</f>
        <v>0</v>
      </c>
      <c r="E44" s="298"/>
      <c r="F44" s="298"/>
      <c r="G44" s="298"/>
      <c r="H44" s="300">
        <f t="shared" si="3"/>
        <v>0</v>
      </c>
      <c r="I44" s="301">
        <f t="shared" si="6"/>
        <v>0</v>
      </c>
      <c r="J44" s="201" t="str">
        <f t="shared" si="7"/>
        <v/>
      </c>
      <c r="K44" s="201" t="str">
        <f t="shared" si="8"/>
        <v/>
      </c>
      <c r="N44" s="57" t="str">
        <f>IF(Plod.25!AE44=0,"",Plod.25!AE44)</f>
        <v>zelená hmota</v>
      </c>
      <c r="O44" s="38">
        <f>IF(Plod.25!AF44=0,0,Plod.25!AF44)</f>
        <v>0.17</v>
      </c>
      <c r="P44" s="292">
        <f>IF(Plod.25!AG44=0,0,Plod.25!AG44)</f>
        <v>4.4000000000000004</v>
      </c>
      <c r="Q44" s="292">
        <f>IF(Plod.25!AH44=0,0,Plod.25!AH44)</f>
        <v>0.6</v>
      </c>
      <c r="R44" s="292">
        <f>IF(Plod.25!AI44=0,0,Plod.25!AI44)</f>
        <v>4.7</v>
      </c>
      <c r="S44" s="204"/>
      <c r="T44" s="202">
        <f t="shared" si="9"/>
        <v>0</v>
      </c>
      <c r="U44" s="203">
        <f t="shared" si="10"/>
        <v>0</v>
      </c>
      <c r="V44" s="204"/>
      <c r="W44" s="204"/>
      <c r="X44" s="204"/>
    </row>
    <row r="45" spans="2:24" s="5" customFormat="1" ht="14.25" customHeight="1" x14ac:dyDescent="0.25">
      <c r="B45" s="226" t="s">
        <v>159</v>
      </c>
      <c r="C45" s="41" t="s">
        <v>209</v>
      </c>
      <c r="D45" s="297">
        <f>Plod.25!D45</f>
        <v>0</v>
      </c>
      <c r="E45" s="298"/>
      <c r="F45" s="298"/>
      <c r="G45" s="298"/>
      <c r="H45" s="300">
        <f t="shared" si="3"/>
        <v>0</v>
      </c>
      <c r="I45" s="301">
        <f t="shared" si="6"/>
        <v>0</v>
      </c>
      <c r="J45" s="201" t="str">
        <f t="shared" si="7"/>
        <v/>
      </c>
      <c r="K45" s="201" t="str">
        <f t="shared" si="8"/>
        <v/>
      </c>
      <c r="N45" s="57" t="str">
        <f>IF(Plod.25!AE45=0,"",Plod.25!AE45)</f>
        <v>zelená hmota</v>
      </c>
      <c r="O45" s="38">
        <f>IF(Plod.25!AF45=0,0,Plod.25!AF45)</f>
        <v>0.17</v>
      </c>
      <c r="P45" s="292">
        <f>IF(Plod.25!AG45=0,0,Plod.25!AG45)</f>
        <v>4.5999999999999996</v>
      </c>
      <c r="Q45" s="292">
        <f>IF(Plod.25!AH45=0,0,Plod.25!AH45)</f>
        <v>0.6</v>
      </c>
      <c r="R45" s="292">
        <f>IF(Plod.25!AI45=0,0,Plod.25!AI45)</f>
        <v>3.7</v>
      </c>
      <c r="S45" s="204"/>
      <c r="T45" s="202">
        <f t="shared" si="9"/>
        <v>0</v>
      </c>
      <c r="U45" s="203">
        <f t="shared" si="10"/>
        <v>0</v>
      </c>
      <c r="V45" s="204"/>
      <c r="W45" s="204"/>
      <c r="X45" s="204"/>
    </row>
    <row r="46" spans="2:24" s="5" customFormat="1" ht="14.25" customHeight="1" x14ac:dyDescent="0.25">
      <c r="B46" s="226" t="s">
        <v>160</v>
      </c>
      <c r="C46" s="41" t="s">
        <v>209</v>
      </c>
      <c r="D46" s="297">
        <f>Plod.25!D46</f>
        <v>0</v>
      </c>
      <c r="E46" s="298"/>
      <c r="F46" s="298"/>
      <c r="G46" s="298"/>
      <c r="H46" s="300">
        <f t="shared" si="3"/>
        <v>0</v>
      </c>
      <c r="I46" s="301">
        <f t="shared" si="6"/>
        <v>0</v>
      </c>
      <c r="J46" s="201" t="str">
        <f t="shared" si="7"/>
        <v/>
      </c>
      <c r="K46" s="201" t="str">
        <f t="shared" si="8"/>
        <v/>
      </c>
      <c r="N46" s="57" t="str">
        <f>IF(Plod.25!AE46=0,"",Plod.25!AE46)</f>
        <v>zelená hmota</v>
      </c>
      <c r="O46" s="38">
        <f>IF(Plod.25!AF46=0,0,Plod.25!AF46)</f>
        <v>0.17</v>
      </c>
      <c r="P46" s="292">
        <f>IF(Plod.25!AG46=0,0,Plod.25!AG46)</f>
        <v>3.8</v>
      </c>
      <c r="Q46" s="292">
        <f>IF(Plod.25!AH46=0,0,Plod.25!AH46)</f>
        <v>0.5</v>
      </c>
      <c r="R46" s="292">
        <f>IF(Plod.25!AI46=0,0,Plod.25!AI46)</f>
        <v>3.3</v>
      </c>
      <c r="S46" s="204"/>
      <c r="T46" s="202">
        <f t="shared" si="9"/>
        <v>0</v>
      </c>
      <c r="U46" s="203">
        <f t="shared" si="10"/>
        <v>0</v>
      </c>
      <c r="V46" s="204"/>
      <c r="W46" s="204"/>
      <c r="X46" s="204"/>
    </row>
    <row r="47" spans="2:24" s="5" customFormat="1" ht="14.25" customHeight="1" x14ac:dyDescent="0.25">
      <c r="B47" s="226" t="s">
        <v>152</v>
      </c>
      <c r="C47" s="41" t="s">
        <v>209</v>
      </c>
      <c r="D47" s="297">
        <f>Plod.25!D47</f>
        <v>0</v>
      </c>
      <c r="E47" s="298"/>
      <c r="F47" s="298"/>
      <c r="G47" s="298"/>
      <c r="H47" s="300">
        <f t="shared" si="3"/>
        <v>0</v>
      </c>
      <c r="I47" s="301">
        <f t="shared" si="6"/>
        <v>0</v>
      </c>
      <c r="J47" s="201" t="str">
        <f t="shared" si="7"/>
        <v/>
      </c>
      <c r="K47" s="201" t="str">
        <f t="shared" si="8"/>
        <v/>
      </c>
      <c r="N47" s="57" t="str">
        <f>IF(Plod.25!AE47=0,"",Plod.25!AE47)</f>
        <v>zelená hmota</v>
      </c>
      <c r="O47" s="38">
        <f>IF(Plod.25!AF47=0,0,Plod.25!AF47)</f>
        <v>0.17</v>
      </c>
      <c r="P47" s="292">
        <f>IF(Plod.25!AG47=0,0,Plod.25!AG47)</f>
        <v>4</v>
      </c>
      <c r="Q47" s="292">
        <f>IF(Plod.25!AH47=0,0,Plod.25!AH47)</f>
        <v>0.6</v>
      </c>
      <c r="R47" s="292">
        <f>IF(Plod.25!AI47=0,0,Plod.25!AI47)</f>
        <v>4.5</v>
      </c>
      <c r="S47" s="204"/>
      <c r="T47" s="202">
        <f t="shared" si="9"/>
        <v>0</v>
      </c>
      <c r="U47" s="203">
        <f t="shared" si="10"/>
        <v>0</v>
      </c>
      <c r="V47" s="204"/>
      <c r="W47" s="204"/>
      <c r="X47" s="204"/>
    </row>
    <row r="48" spans="2:24" s="5" customFormat="1" ht="14.25" customHeight="1" x14ac:dyDescent="0.25">
      <c r="B48" s="226" t="s">
        <v>161</v>
      </c>
      <c r="C48" s="41" t="s">
        <v>209</v>
      </c>
      <c r="D48" s="297">
        <f>Plod.25!D48</f>
        <v>0</v>
      </c>
      <c r="E48" s="298"/>
      <c r="F48" s="298"/>
      <c r="G48" s="298"/>
      <c r="H48" s="300">
        <f t="shared" si="3"/>
        <v>0</v>
      </c>
      <c r="I48" s="301">
        <f t="shared" si="6"/>
        <v>0</v>
      </c>
      <c r="J48" s="201" t="str">
        <f t="shared" si="7"/>
        <v/>
      </c>
      <c r="K48" s="201" t="str">
        <f t="shared" si="8"/>
        <v/>
      </c>
      <c r="N48" s="57" t="str">
        <f>IF(Plod.25!AE48=0,"",Plod.25!AE48)</f>
        <v>zelená hmota</v>
      </c>
      <c r="O48" s="38">
        <f>IF(Plod.25!AF48=0,0,Plod.25!AF48)</f>
        <v>0.17</v>
      </c>
      <c r="P48" s="292">
        <f>IF(Plod.25!AG48=0,0,Plod.25!AG48)</f>
        <v>4.7</v>
      </c>
      <c r="Q48" s="292">
        <f>IF(Plod.25!AH48=0,0,Plod.25!AH48)</f>
        <v>0.5</v>
      </c>
      <c r="R48" s="292">
        <f>IF(Plod.25!AI48=0,0,Plod.25!AI48)</f>
        <v>4.2</v>
      </c>
      <c r="S48" s="204"/>
      <c r="T48" s="202">
        <f t="shared" si="9"/>
        <v>0</v>
      </c>
      <c r="U48" s="203">
        <f t="shared" si="10"/>
        <v>0</v>
      </c>
      <c r="V48" s="204"/>
      <c r="W48" s="204"/>
      <c r="X48" s="204"/>
    </row>
    <row r="49" spans="2:24" s="5" customFormat="1" ht="14.25" customHeight="1" x14ac:dyDescent="0.25">
      <c r="B49" s="226" t="s">
        <v>170</v>
      </c>
      <c r="C49" s="41" t="s">
        <v>209</v>
      </c>
      <c r="D49" s="297">
        <f>Plod.25!D49</f>
        <v>0</v>
      </c>
      <c r="E49" s="298"/>
      <c r="F49" s="298"/>
      <c r="G49" s="298"/>
      <c r="H49" s="300">
        <f t="shared" si="3"/>
        <v>0</v>
      </c>
      <c r="I49" s="301">
        <f t="shared" si="6"/>
        <v>0</v>
      </c>
      <c r="J49" s="201" t="str">
        <f t="shared" si="7"/>
        <v/>
      </c>
      <c r="K49" s="201" t="str">
        <f t="shared" si="8"/>
        <v/>
      </c>
      <c r="N49" s="57" t="str">
        <f>IF(Plod.25!AE49=0,"",Plod.25!AE49)</f>
        <v>zelená hmota</v>
      </c>
      <c r="O49" s="38">
        <f>IF(Plod.25!AF49=0,0,Plod.25!AF49)</f>
        <v>0.17</v>
      </c>
      <c r="P49" s="292">
        <f>IF(Plod.25!AG49=0,0,Plod.25!AG49)</f>
        <v>4</v>
      </c>
      <c r="Q49" s="292">
        <f>IF(Plod.25!AH49=0,0,Plod.25!AH49)</f>
        <v>0.7</v>
      </c>
      <c r="R49" s="292">
        <f>IF(Plod.25!AI49=0,0,Plod.25!AI49)</f>
        <v>4.0999999999999996</v>
      </c>
      <c r="S49" s="204"/>
      <c r="T49" s="202">
        <f t="shared" si="9"/>
        <v>0</v>
      </c>
      <c r="U49" s="203">
        <f t="shared" si="10"/>
        <v>0</v>
      </c>
      <c r="V49" s="204"/>
      <c r="W49" s="204"/>
      <c r="X49" s="204"/>
    </row>
    <row r="50" spans="2:24" s="5" customFormat="1" ht="14.25" customHeight="1" x14ac:dyDescent="0.25">
      <c r="B50" s="226" t="s">
        <v>162</v>
      </c>
      <c r="C50" s="41" t="s">
        <v>209</v>
      </c>
      <c r="D50" s="297">
        <f>Plod.25!D50</f>
        <v>0</v>
      </c>
      <c r="E50" s="298"/>
      <c r="F50" s="298"/>
      <c r="G50" s="298"/>
      <c r="H50" s="300">
        <f t="shared" si="3"/>
        <v>0</v>
      </c>
      <c r="I50" s="301">
        <f t="shared" si="6"/>
        <v>0</v>
      </c>
      <c r="J50" s="201" t="str">
        <f t="shared" si="7"/>
        <v/>
      </c>
      <c r="K50" s="201" t="str">
        <f t="shared" si="8"/>
        <v/>
      </c>
      <c r="N50" s="57" t="str">
        <f>IF(Plod.25!AE50=0,"",Plod.25!AE50)</f>
        <v>zelená hmota</v>
      </c>
      <c r="O50" s="38">
        <f>IF(Plod.25!AF50=0,0,Plod.25!AF50)</f>
        <v>0.17</v>
      </c>
      <c r="P50" s="292">
        <f>IF(Plod.25!AG50=0,0,Plod.25!AG50)</f>
        <v>4.8</v>
      </c>
      <c r="Q50" s="292">
        <f>IF(Plod.25!AH50=0,0,Plod.25!AH50)</f>
        <v>0.6</v>
      </c>
      <c r="R50" s="292">
        <f>IF(Plod.25!AI50=0,0,Plod.25!AI50)</f>
        <v>5.7</v>
      </c>
      <c r="S50" s="204"/>
      <c r="T50" s="202">
        <f t="shared" si="9"/>
        <v>0</v>
      </c>
      <c r="U50" s="203">
        <f t="shared" si="10"/>
        <v>0</v>
      </c>
      <c r="V50" s="204"/>
      <c r="W50" s="204"/>
      <c r="X50" s="204"/>
    </row>
    <row r="51" spans="2:24" s="5" customFormat="1" ht="14.25" customHeight="1" x14ac:dyDescent="0.25">
      <c r="B51" s="226" t="s">
        <v>163</v>
      </c>
      <c r="C51" s="41" t="s">
        <v>209</v>
      </c>
      <c r="D51" s="297">
        <f>Plod.25!D51</f>
        <v>0</v>
      </c>
      <c r="E51" s="298"/>
      <c r="F51" s="298"/>
      <c r="G51" s="298"/>
      <c r="H51" s="300">
        <f t="shared" si="3"/>
        <v>0</v>
      </c>
      <c r="I51" s="301">
        <f t="shared" si="6"/>
        <v>0</v>
      </c>
      <c r="J51" s="201" t="str">
        <f t="shared" si="7"/>
        <v/>
      </c>
      <c r="K51" s="201" t="str">
        <f t="shared" si="8"/>
        <v/>
      </c>
      <c r="N51" s="57" t="str">
        <f>IF(Plod.25!AE51=0,"",Plod.25!AE51)</f>
        <v>zelená hmota</v>
      </c>
      <c r="O51" s="38">
        <f>IF(Plod.25!AF51=0,0,Plod.25!AF51)</f>
        <v>0.17</v>
      </c>
      <c r="P51" s="292">
        <f>IF(Plod.25!AG51=0,0,Plod.25!AG51)</f>
        <v>5.0999999999999996</v>
      </c>
      <c r="Q51" s="292">
        <f>IF(Plod.25!AH51=0,0,Plod.25!AH51)</f>
        <v>0.7</v>
      </c>
      <c r="R51" s="292">
        <f>IF(Plod.25!AI51=0,0,Plod.25!AI51)</f>
        <v>5.4</v>
      </c>
      <c r="S51" s="204"/>
      <c r="T51" s="202">
        <f t="shared" si="9"/>
        <v>0</v>
      </c>
      <c r="U51" s="203">
        <f t="shared" si="10"/>
        <v>0</v>
      </c>
      <c r="V51" s="204"/>
      <c r="W51" s="204"/>
      <c r="X51" s="204"/>
    </row>
    <row r="52" spans="2:24" s="5" customFormat="1" ht="14.25" customHeight="1" x14ac:dyDescent="0.25">
      <c r="B52" s="226" t="s">
        <v>164</v>
      </c>
      <c r="C52" s="41" t="s">
        <v>209</v>
      </c>
      <c r="D52" s="297">
        <f>Plod.25!D52</f>
        <v>0</v>
      </c>
      <c r="E52" s="298"/>
      <c r="F52" s="298"/>
      <c r="G52" s="298"/>
      <c r="H52" s="300">
        <f t="shared" si="3"/>
        <v>0</v>
      </c>
      <c r="I52" s="301">
        <f t="shared" si="6"/>
        <v>0</v>
      </c>
      <c r="J52" s="201" t="str">
        <f t="shared" si="7"/>
        <v/>
      </c>
      <c r="K52" s="201" t="str">
        <f t="shared" si="8"/>
        <v/>
      </c>
      <c r="N52" s="57" t="str">
        <f>IF(Plod.25!AE52=0,"",Plod.25!AE52)</f>
        <v>zelená hmota</v>
      </c>
      <c r="O52" s="38">
        <f>IF(Plod.25!AF52=0,0,Plod.25!AF52)</f>
        <v>0.17</v>
      </c>
      <c r="P52" s="292">
        <f>IF(Plod.25!AG52=0,0,Plod.25!AG52)</f>
        <v>5.7</v>
      </c>
      <c r="Q52" s="292">
        <f>IF(Plod.25!AH52=0,0,Plod.25!AH52)</f>
        <v>0.4</v>
      </c>
      <c r="R52" s="292">
        <f>IF(Plod.25!AI52=0,0,Plod.25!AI52)</f>
        <v>4</v>
      </c>
      <c r="S52" s="204"/>
      <c r="T52" s="202">
        <f t="shared" si="9"/>
        <v>0</v>
      </c>
      <c r="U52" s="203">
        <f t="shared" si="10"/>
        <v>0</v>
      </c>
      <c r="V52" s="204"/>
      <c r="W52" s="204"/>
      <c r="X52" s="204"/>
    </row>
    <row r="53" spans="2:24" s="5" customFormat="1" ht="14.25" customHeight="1" x14ac:dyDescent="0.25">
      <c r="B53" s="226" t="s">
        <v>148</v>
      </c>
      <c r="C53" s="41" t="s">
        <v>209</v>
      </c>
      <c r="D53" s="297">
        <f>Plod.25!D53</f>
        <v>0</v>
      </c>
      <c r="E53" s="298"/>
      <c r="F53" s="298"/>
      <c r="G53" s="298"/>
      <c r="H53" s="300">
        <f t="shared" si="3"/>
        <v>0</v>
      </c>
      <c r="I53" s="301">
        <f t="shared" si="6"/>
        <v>0</v>
      </c>
      <c r="J53" s="201" t="str">
        <f t="shared" si="7"/>
        <v/>
      </c>
      <c r="K53" s="201" t="str">
        <f t="shared" si="8"/>
        <v/>
      </c>
      <c r="N53" s="57" t="str">
        <f>IF(Plod.25!AE53=0,"",Plod.25!AE53)</f>
        <v>zelená hmota</v>
      </c>
      <c r="O53" s="38">
        <f>IF(Plod.25!AF53=0,0,Plod.25!AF53)</f>
        <v>0.17</v>
      </c>
      <c r="P53" s="292">
        <f>IF(Plod.25!AG53=0,0,Plod.25!AG53)</f>
        <v>4</v>
      </c>
      <c r="Q53" s="292">
        <f>IF(Plod.25!AH53=0,0,Plod.25!AH53)</f>
        <v>0.6</v>
      </c>
      <c r="R53" s="292">
        <f>IF(Plod.25!AI53=0,0,Plod.25!AI53)</f>
        <v>4.5</v>
      </c>
      <c r="S53" s="204"/>
      <c r="T53" s="202">
        <f t="shared" si="9"/>
        <v>0</v>
      </c>
      <c r="U53" s="203">
        <f t="shared" si="10"/>
        <v>0</v>
      </c>
      <c r="V53" s="204"/>
      <c r="W53" s="204"/>
      <c r="X53" s="204"/>
    </row>
    <row r="54" spans="2:24" s="5" customFormat="1" ht="14.25" customHeight="1" x14ac:dyDescent="0.25">
      <c r="B54" s="226" t="s">
        <v>177</v>
      </c>
      <c r="C54" s="41" t="s">
        <v>266</v>
      </c>
      <c r="D54" s="297">
        <f>Plod.25!D54</f>
        <v>0</v>
      </c>
      <c r="E54" s="298"/>
      <c r="F54" s="298"/>
      <c r="G54" s="298"/>
      <c r="H54" s="300">
        <f t="shared" si="3"/>
        <v>0</v>
      </c>
      <c r="I54" s="301">
        <f t="shared" si="6"/>
        <v>0</v>
      </c>
      <c r="J54" s="201" t="str">
        <f t="shared" si="7"/>
        <v/>
      </c>
      <c r="K54" s="201" t="str">
        <f t="shared" si="8"/>
        <v/>
      </c>
      <c r="N54" s="57" t="str">
        <f>IF(Plod.25!AE54=0,"",Plod.25!AE54)</f>
        <v>seno</v>
      </c>
      <c r="O54" s="38">
        <f>IF(Plod.25!AF54=0,0,Plod.25!AF54)</f>
        <v>0.85</v>
      </c>
      <c r="P54" s="292">
        <f>IF(Plod.25!AG54=0,0,Plod.25!AG54)</f>
        <v>24.1</v>
      </c>
      <c r="Q54" s="292">
        <f>IF(Plod.25!AH54=0,0,Plod.25!AH54)</f>
        <v>2</v>
      </c>
      <c r="R54" s="292">
        <f>IF(Plod.25!AI54=0,0,Plod.25!AI54)</f>
        <v>17.899999999999999</v>
      </c>
      <c r="S54" s="204"/>
      <c r="T54" s="202">
        <f t="shared" si="9"/>
        <v>0</v>
      </c>
      <c r="U54" s="203">
        <f t="shared" si="10"/>
        <v>0</v>
      </c>
      <c r="V54" s="204"/>
      <c r="W54" s="204"/>
      <c r="X54" s="204"/>
    </row>
    <row r="55" spans="2:24" s="5" customFormat="1" ht="14.25" customHeight="1" x14ac:dyDescent="0.25">
      <c r="B55" s="226" t="s">
        <v>178</v>
      </c>
      <c r="C55" s="41" t="s">
        <v>266</v>
      </c>
      <c r="D55" s="297">
        <f>Plod.25!D55</f>
        <v>0</v>
      </c>
      <c r="E55" s="298"/>
      <c r="F55" s="298"/>
      <c r="G55" s="298"/>
      <c r="H55" s="300">
        <f t="shared" si="3"/>
        <v>0</v>
      </c>
      <c r="I55" s="301">
        <f t="shared" si="6"/>
        <v>0</v>
      </c>
      <c r="J55" s="201" t="str">
        <f t="shared" si="7"/>
        <v/>
      </c>
      <c r="K55" s="201" t="str">
        <f t="shared" si="8"/>
        <v/>
      </c>
      <c r="N55" s="57" t="str">
        <f>IF(Plod.25!AE55=0,"",Plod.25!AE55)</f>
        <v>seno</v>
      </c>
      <c r="O55" s="38">
        <f>IF(Plod.25!AF55=0,0,Plod.25!AF55)</f>
        <v>0.85</v>
      </c>
      <c r="P55" s="292">
        <f>IF(Plod.25!AG55=0,0,Plod.25!AG55)</f>
        <v>28.3</v>
      </c>
      <c r="Q55" s="292">
        <f>IF(Plod.25!AH55=0,0,Plod.25!AH55)</f>
        <v>2.2999999999999998</v>
      </c>
      <c r="R55" s="292">
        <f>IF(Plod.25!AI55=0,0,Plod.25!AI55)</f>
        <v>18.2</v>
      </c>
      <c r="S55" s="204"/>
      <c r="T55" s="202">
        <f t="shared" si="9"/>
        <v>0</v>
      </c>
      <c r="U55" s="203">
        <f t="shared" si="10"/>
        <v>0</v>
      </c>
      <c r="V55" s="204"/>
      <c r="W55" s="204"/>
      <c r="X55" s="204"/>
    </row>
    <row r="56" spans="2:24" s="5" customFormat="1" ht="14.25" customHeight="1" x14ac:dyDescent="0.25">
      <c r="B56" s="226" t="s">
        <v>191</v>
      </c>
      <c r="C56" s="41" t="s">
        <v>266</v>
      </c>
      <c r="D56" s="297">
        <f>Plod.25!D56</f>
        <v>0</v>
      </c>
      <c r="E56" s="298"/>
      <c r="F56" s="298"/>
      <c r="G56" s="298"/>
      <c r="H56" s="300">
        <f t="shared" si="3"/>
        <v>0</v>
      </c>
      <c r="I56" s="301">
        <f t="shared" si="6"/>
        <v>0</v>
      </c>
      <c r="J56" s="201" t="str">
        <f t="shared" si="7"/>
        <v/>
      </c>
      <c r="K56" s="201" t="str">
        <f t="shared" si="8"/>
        <v/>
      </c>
      <c r="N56" s="57" t="str">
        <f>IF(Plod.25!AE56=0,"",Plod.25!AE56)</f>
        <v>seno</v>
      </c>
      <c r="O56" s="38">
        <f>IF(Plod.25!AF56=0,0,Plod.25!AF56)</f>
        <v>0.85</v>
      </c>
      <c r="P56" s="292">
        <f>IF(Plod.25!AG56=0,0,Plod.25!AG56)</f>
        <v>28.3</v>
      </c>
      <c r="Q56" s="292">
        <f>IF(Plod.25!AH56=0,0,Plod.25!AH56)</f>
        <v>2.2999999999999998</v>
      </c>
      <c r="R56" s="292">
        <f>IF(Plod.25!AI56=0,0,Plod.25!AI56)</f>
        <v>18.2</v>
      </c>
      <c r="S56" s="204"/>
      <c r="T56" s="202">
        <f t="shared" si="9"/>
        <v>0</v>
      </c>
      <c r="U56" s="203">
        <f t="shared" si="10"/>
        <v>0</v>
      </c>
      <c r="V56" s="204"/>
      <c r="W56" s="204"/>
      <c r="X56" s="204"/>
    </row>
    <row r="57" spans="2:24" s="116" customFormat="1" ht="14.25" customHeight="1" x14ac:dyDescent="0.25">
      <c r="B57" s="227" t="s">
        <v>150</v>
      </c>
      <c r="C57" s="42"/>
      <c r="D57" s="297">
        <f>Plod.25!D57</f>
        <v>0</v>
      </c>
      <c r="E57" s="298"/>
      <c r="F57" s="299"/>
      <c r="G57" s="299"/>
      <c r="H57" s="300">
        <f t="shared" si="3"/>
        <v>0</v>
      </c>
      <c r="I57" s="301">
        <f t="shared" si="6"/>
        <v>0</v>
      </c>
      <c r="J57" s="201" t="str">
        <f t="shared" si="7"/>
        <v/>
      </c>
      <c r="K57" s="201" t="str">
        <f t="shared" si="8"/>
        <v/>
      </c>
      <c r="L57" s="5"/>
      <c r="M57" s="5"/>
      <c r="N57" s="57" t="str">
        <f>IF(Plod.25!AE57=0,"",Plod.25!AE57)</f>
        <v>semeno</v>
      </c>
      <c r="O57" s="38">
        <f>IF(Plod.25!AF57=0,0,Plod.25!AF57)</f>
        <v>0.91</v>
      </c>
      <c r="P57" s="292">
        <f>IF(Plod.25!AG57=0,0,Plod.25!AG57)</f>
        <v>55</v>
      </c>
      <c r="Q57" s="292">
        <f>IF(Plod.25!AH57=0,0,Plod.25!AH57)</f>
        <v>6.4</v>
      </c>
      <c r="R57" s="292">
        <f>IF(Plod.25!AI57=0,0,Plod.25!AI57)</f>
        <v>5.8</v>
      </c>
      <c r="S57" s="205"/>
      <c r="T57" s="202">
        <f t="shared" si="9"/>
        <v>0</v>
      </c>
      <c r="U57" s="203">
        <f t="shared" si="10"/>
        <v>0</v>
      </c>
      <c r="V57" s="205"/>
      <c r="W57" s="205"/>
      <c r="X57" s="205"/>
    </row>
    <row r="58" spans="2:24" s="5" customFormat="1" ht="14.25" customHeight="1" x14ac:dyDescent="0.25">
      <c r="B58" s="226" t="s">
        <v>78</v>
      </c>
      <c r="C58" s="41" t="s">
        <v>266</v>
      </c>
      <c r="D58" s="297">
        <f>Plod.25!D58</f>
        <v>0</v>
      </c>
      <c r="E58" s="298"/>
      <c r="F58" s="298"/>
      <c r="G58" s="298"/>
      <c r="H58" s="300">
        <f t="shared" si="3"/>
        <v>0</v>
      </c>
      <c r="I58" s="301">
        <f t="shared" si="6"/>
        <v>0</v>
      </c>
      <c r="J58" s="201" t="str">
        <f t="shared" si="7"/>
        <v/>
      </c>
      <c r="K58" s="201" t="str">
        <f t="shared" si="8"/>
        <v/>
      </c>
      <c r="N58" s="57" t="str">
        <f>IF(Plod.25!AE58=0,"",Plod.25!AE58)</f>
        <v>seno</v>
      </c>
      <c r="O58" s="38">
        <f>IF(Plod.25!AF58=0,0,Plod.25!AF58)</f>
        <v>0.85</v>
      </c>
      <c r="P58" s="292">
        <f>IF(Plod.25!AG58=0,0,Plod.25!AG58)</f>
        <v>21.8</v>
      </c>
      <c r="Q58" s="292">
        <f>IF(Plod.25!AH58=0,0,Plod.25!AH58)</f>
        <v>2</v>
      </c>
      <c r="R58" s="292">
        <f>IF(Plod.25!AI58=0,0,Plod.25!AI58)</f>
        <v>19</v>
      </c>
      <c r="S58" s="204"/>
      <c r="T58" s="202">
        <f t="shared" si="9"/>
        <v>0</v>
      </c>
      <c r="U58" s="203">
        <f t="shared" si="10"/>
        <v>0</v>
      </c>
      <c r="V58" s="204"/>
      <c r="W58" s="204"/>
      <c r="X58" s="204"/>
    </row>
    <row r="59" spans="2:24" s="5" customFormat="1" ht="14.25" customHeight="1" x14ac:dyDescent="0.25">
      <c r="B59" s="226" t="s">
        <v>79</v>
      </c>
      <c r="C59" s="41" t="s">
        <v>266</v>
      </c>
      <c r="D59" s="297">
        <f>Plod.25!D59</f>
        <v>0</v>
      </c>
      <c r="E59" s="298"/>
      <c r="F59" s="298"/>
      <c r="G59" s="298"/>
      <c r="H59" s="300">
        <f t="shared" si="3"/>
        <v>0</v>
      </c>
      <c r="I59" s="301">
        <f t="shared" si="6"/>
        <v>0</v>
      </c>
      <c r="J59" s="201" t="str">
        <f t="shared" si="7"/>
        <v/>
      </c>
      <c r="K59" s="201" t="str">
        <f t="shared" si="8"/>
        <v/>
      </c>
      <c r="N59" s="57" t="str">
        <f>IF(Plod.25!AE59=0,"",Plod.25!AE59)</f>
        <v>seno</v>
      </c>
      <c r="O59" s="38">
        <f>IF(Plod.25!AF59=0,0,Plod.25!AF59)</f>
        <v>0.85</v>
      </c>
      <c r="P59" s="292">
        <f>IF(Plod.25!AG59=0,0,Plod.25!AG59)</f>
        <v>21.1</v>
      </c>
      <c r="Q59" s="292">
        <f>IF(Plod.25!AH59=0,0,Plod.25!AH59)</f>
        <v>2.8</v>
      </c>
      <c r="R59" s="292">
        <f>IF(Plod.25!AI59=0,0,Plod.25!AI59)</f>
        <v>19.8</v>
      </c>
      <c r="S59" s="204"/>
      <c r="T59" s="202">
        <f t="shared" si="9"/>
        <v>0</v>
      </c>
      <c r="U59" s="203">
        <f t="shared" si="10"/>
        <v>0</v>
      </c>
      <c r="V59" s="204"/>
      <c r="W59" s="204"/>
      <c r="X59" s="204"/>
    </row>
    <row r="60" spans="2:24" s="5" customFormat="1" ht="14.25" customHeight="1" x14ac:dyDescent="0.25">
      <c r="B60" s="226" t="s">
        <v>80</v>
      </c>
      <c r="C60" s="41" t="s">
        <v>266</v>
      </c>
      <c r="D60" s="297">
        <f>Plod.25!D60</f>
        <v>0</v>
      </c>
      <c r="E60" s="298"/>
      <c r="F60" s="298"/>
      <c r="G60" s="298"/>
      <c r="H60" s="300">
        <f t="shared" si="3"/>
        <v>0</v>
      </c>
      <c r="I60" s="301">
        <f t="shared" si="6"/>
        <v>0</v>
      </c>
      <c r="J60" s="201" t="str">
        <f t="shared" si="7"/>
        <v/>
      </c>
      <c r="K60" s="201" t="str">
        <f t="shared" si="8"/>
        <v/>
      </c>
      <c r="N60" s="57" t="str">
        <f>IF(Plod.25!AE60=0,"",Plod.25!AE60)</f>
        <v>seno</v>
      </c>
      <c r="O60" s="38">
        <f>IF(Plod.25!AF60=0,0,Plod.25!AF60)</f>
        <v>0.85</v>
      </c>
      <c r="P60" s="292">
        <f>IF(Plod.25!AG60=0,0,Plod.25!AG60)</f>
        <v>20.399999999999999</v>
      </c>
      <c r="Q60" s="292">
        <f>IF(Plod.25!AH60=0,0,Plod.25!AH60)</f>
        <v>3</v>
      </c>
      <c r="R60" s="292">
        <f>IF(Plod.25!AI60=0,0,Plod.25!AI60)</f>
        <v>23</v>
      </c>
      <c r="S60" s="204"/>
      <c r="T60" s="202">
        <f t="shared" si="9"/>
        <v>0</v>
      </c>
      <c r="U60" s="203">
        <f t="shared" si="10"/>
        <v>0</v>
      </c>
      <c r="V60" s="204"/>
      <c r="W60" s="204"/>
      <c r="X60" s="204"/>
    </row>
    <row r="61" spans="2:24" s="5" customFormat="1" ht="14.25" customHeight="1" x14ac:dyDescent="0.25">
      <c r="B61" s="226" t="s">
        <v>190</v>
      </c>
      <c r="C61" s="41" t="s">
        <v>266</v>
      </c>
      <c r="D61" s="297">
        <f>Plod.25!D61</f>
        <v>0</v>
      </c>
      <c r="E61" s="298"/>
      <c r="F61" s="298"/>
      <c r="G61" s="298"/>
      <c r="H61" s="300">
        <f t="shared" si="3"/>
        <v>0</v>
      </c>
      <c r="I61" s="301">
        <f t="shared" si="6"/>
        <v>0</v>
      </c>
      <c r="J61" s="201" t="str">
        <f t="shared" si="7"/>
        <v/>
      </c>
      <c r="K61" s="201" t="str">
        <f t="shared" si="8"/>
        <v/>
      </c>
      <c r="N61" s="57" t="str">
        <f>IF(Plod.25!AE61=0,"",Plod.25!AE61)</f>
        <v>seno</v>
      </c>
      <c r="O61" s="38">
        <f>IF(Plod.25!AF61=0,0,Plod.25!AF61)</f>
        <v>0.85</v>
      </c>
      <c r="P61" s="292">
        <f>IF(Plod.25!AG61=0,0,Plod.25!AG61)</f>
        <v>21.7</v>
      </c>
      <c r="Q61" s="292">
        <f>IF(Plod.25!AH61=0,0,Plod.25!AH61)</f>
        <v>2.6</v>
      </c>
      <c r="R61" s="292">
        <f>IF(Plod.25!AI61=0,0,Plod.25!AI61)</f>
        <v>20.8</v>
      </c>
      <c r="S61" s="204"/>
      <c r="T61" s="202">
        <f t="shared" si="9"/>
        <v>0</v>
      </c>
      <c r="U61" s="203">
        <f t="shared" si="10"/>
        <v>0</v>
      </c>
      <c r="V61" s="204"/>
      <c r="W61" s="204"/>
      <c r="X61" s="204"/>
    </row>
    <row r="62" spans="2:24" s="116" customFormat="1" ht="14.25" customHeight="1" x14ac:dyDescent="0.25">
      <c r="B62" s="227" t="s">
        <v>151</v>
      </c>
      <c r="C62" s="42"/>
      <c r="D62" s="297">
        <f>Plod.25!D62</f>
        <v>0</v>
      </c>
      <c r="E62" s="298"/>
      <c r="F62" s="299"/>
      <c r="G62" s="299"/>
      <c r="H62" s="300">
        <f t="shared" si="3"/>
        <v>0</v>
      </c>
      <c r="I62" s="301">
        <f t="shared" si="6"/>
        <v>0</v>
      </c>
      <c r="J62" s="201" t="str">
        <f t="shared" si="7"/>
        <v/>
      </c>
      <c r="K62" s="201" t="str">
        <f t="shared" si="8"/>
        <v/>
      </c>
      <c r="L62" s="5"/>
      <c r="M62" s="5"/>
      <c r="N62" s="57" t="str">
        <f>IF(Plod.25!AE62=0,"",Plod.25!AE62)</f>
        <v>semeno</v>
      </c>
      <c r="O62" s="38">
        <f>IF(Plod.25!AF62=0,0,Plod.25!AF62)</f>
        <v>0.91</v>
      </c>
      <c r="P62" s="292">
        <f>IF(Plod.25!AG62=0,0,Plod.25!AG62)</f>
        <v>23.4</v>
      </c>
      <c r="Q62" s="292">
        <f>IF(Plod.25!AH62=0,0,Plod.25!AH62)</f>
        <v>3.6</v>
      </c>
      <c r="R62" s="292">
        <f>IF(Plod.25!AI62=0,0,Plod.25!AI62)</f>
        <v>5.8</v>
      </c>
      <c r="S62" s="205"/>
      <c r="T62" s="202">
        <f t="shared" si="9"/>
        <v>0</v>
      </c>
      <c r="U62" s="203">
        <f t="shared" si="10"/>
        <v>0</v>
      </c>
      <c r="V62" s="205"/>
      <c r="W62" s="205"/>
      <c r="X62" s="205"/>
    </row>
    <row r="63" spans="2:24" s="5" customFormat="1" ht="14.25" customHeight="1" x14ac:dyDescent="0.25">
      <c r="B63" s="226" t="s">
        <v>63</v>
      </c>
      <c r="C63" s="42"/>
      <c r="D63" s="309">
        <f>Plod.25!D63</f>
        <v>0</v>
      </c>
      <c r="E63" s="298"/>
      <c r="F63" s="299"/>
      <c r="G63" s="299"/>
      <c r="H63" s="300">
        <f t="shared" si="3"/>
        <v>0</v>
      </c>
      <c r="I63" s="301">
        <f t="shared" si="6"/>
        <v>0</v>
      </c>
      <c r="J63" s="201" t="str">
        <f t="shared" si="7"/>
        <v/>
      </c>
      <c r="K63" s="201" t="str">
        <f t="shared" si="8"/>
        <v/>
      </c>
      <c r="N63" s="57" t="str">
        <f>IF(Plod.25!AE63=0,"",Plod.25!AE63)</f>
        <v/>
      </c>
      <c r="O63" s="38">
        <f>IF(Plod.25!AF63=0,0,Plod.25!AF63)</f>
        <v>0</v>
      </c>
      <c r="P63" s="292">
        <f>IF(Plod.25!AG63=0,0,Plod.25!AG63)</f>
        <v>3</v>
      </c>
      <c r="Q63" s="292">
        <f>IF(Plod.25!AH63=0,0,Plod.25!AH63)</f>
        <v>0.9</v>
      </c>
      <c r="R63" s="292">
        <f>IF(Plod.25!AI63=0,0,Plod.25!AI63)</f>
        <v>5</v>
      </c>
      <c r="S63" s="204"/>
      <c r="T63" s="202">
        <f t="shared" si="9"/>
        <v>0</v>
      </c>
      <c r="U63" s="203">
        <f t="shared" si="10"/>
        <v>0</v>
      </c>
      <c r="V63" s="204"/>
      <c r="W63" s="204"/>
      <c r="X63" s="204"/>
    </row>
    <row r="64" spans="2:24" s="5" customFormat="1" ht="14.25" customHeight="1" x14ac:dyDescent="0.25">
      <c r="B64" s="226" t="s">
        <v>67</v>
      </c>
      <c r="C64" s="42"/>
      <c r="D64" s="309">
        <f>Plod.25!D64</f>
        <v>0</v>
      </c>
      <c r="E64" s="298"/>
      <c r="F64" s="299"/>
      <c r="G64" s="299"/>
      <c r="H64" s="300">
        <f t="shared" si="3"/>
        <v>0</v>
      </c>
      <c r="I64" s="301">
        <f t="shared" si="6"/>
        <v>0</v>
      </c>
      <c r="J64" s="201" t="str">
        <f t="shared" si="7"/>
        <v/>
      </c>
      <c r="K64" s="201" t="str">
        <f t="shared" si="8"/>
        <v/>
      </c>
      <c r="N64" s="57" t="str">
        <f>IF(Plod.25!AE64=0,"",Plod.25!AE64)</f>
        <v/>
      </c>
      <c r="O64" s="38">
        <f>IF(Plod.25!AF64=0,0,Plod.25!AF64)</f>
        <v>0</v>
      </c>
      <c r="P64" s="292">
        <f>IF(Plod.25!AG64=0,0,Plod.25!AG64)</f>
        <v>2</v>
      </c>
      <c r="Q64" s="292">
        <f>IF(Plod.25!AH64=0,0,Plod.25!AH64)</f>
        <v>0.4</v>
      </c>
      <c r="R64" s="292">
        <f>IF(Plod.25!AI64=0,0,Plod.25!AI64)</f>
        <v>3.7</v>
      </c>
      <c r="S64" s="204"/>
      <c r="T64" s="202">
        <f t="shared" si="9"/>
        <v>0</v>
      </c>
      <c r="U64" s="203">
        <f t="shared" si="10"/>
        <v>0</v>
      </c>
      <c r="V64" s="204"/>
      <c r="W64" s="204"/>
      <c r="X64" s="204"/>
    </row>
    <row r="65" spans="2:24" s="5" customFormat="1" ht="14.25" customHeight="1" x14ac:dyDescent="0.25">
      <c r="B65" s="226" t="s">
        <v>70</v>
      </c>
      <c r="C65" s="42"/>
      <c r="D65" s="309">
        <f>Plod.25!D65</f>
        <v>0</v>
      </c>
      <c r="E65" s="298"/>
      <c r="F65" s="299"/>
      <c r="G65" s="299"/>
      <c r="H65" s="300">
        <f t="shared" si="3"/>
        <v>0</v>
      </c>
      <c r="I65" s="301">
        <f t="shared" si="6"/>
        <v>0</v>
      </c>
      <c r="J65" s="201" t="str">
        <f t="shared" si="7"/>
        <v/>
      </c>
      <c r="K65" s="201" t="str">
        <f t="shared" si="8"/>
        <v/>
      </c>
      <c r="N65" s="57" t="str">
        <f>IF(Plod.25!AE65=0,"",Plod.25!AE65)</f>
        <v/>
      </c>
      <c r="O65" s="38">
        <f>IF(Plod.25!AF65=0,0,Plod.25!AF65)</f>
        <v>0</v>
      </c>
      <c r="P65" s="292">
        <f>IF(Plod.25!AG65=0,0,Plod.25!AG65)</f>
        <v>3</v>
      </c>
      <c r="Q65" s="292">
        <f>IF(Plod.25!AH65=0,0,Plod.25!AH65)</f>
        <v>0.7</v>
      </c>
      <c r="R65" s="292">
        <f>IF(Plod.25!AI65=0,0,Plod.25!AI65)</f>
        <v>4.2</v>
      </c>
      <c r="S65" s="204"/>
      <c r="T65" s="202">
        <f t="shared" si="9"/>
        <v>0</v>
      </c>
      <c r="U65" s="203">
        <f t="shared" si="10"/>
        <v>0</v>
      </c>
      <c r="V65" s="204"/>
      <c r="W65" s="204"/>
      <c r="X65" s="204"/>
    </row>
    <row r="66" spans="2:24" s="5" customFormat="1" ht="14.25" customHeight="1" x14ac:dyDescent="0.25">
      <c r="B66" s="226" t="s">
        <v>62</v>
      </c>
      <c r="C66" s="42"/>
      <c r="D66" s="309">
        <f>Plod.25!D66</f>
        <v>0</v>
      </c>
      <c r="E66" s="298"/>
      <c r="F66" s="299"/>
      <c r="G66" s="299"/>
      <c r="H66" s="300">
        <f t="shared" si="3"/>
        <v>0</v>
      </c>
      <c r="I66" s="301">
        <f t="shared" si="6"/>
        <v>0</v>
      </c>
      <c r="J66" s="201" t="str">
        <f t="shared" si="7"/>
        <v/>
      </c>
      <c r="K66" s="201" t="str">
        <f t="shared" si="8"/>
        <v/>
      </c>
      <c r="N66" s="57" t="str">
        <f>IF(Plod.25!AE66=0,"",Plod.25!AE66)</f>
        <v/>
      </c>
      <c r="O66" s="38">
        <f>IF(Plod.25!AF66=0,0,Plod.25!AF66)</f>
        <v>0</v>
      </c>
      <c r="P66" s="292">
        <f>IF(Plod.25!AG66=0,0,Plod.25!AG66)</f>
        <v>2</v>
      </c>
      <c r="Q66" s="292">
        <f>IF(Plod.25!AH66=0,0,Plod.25!AH66)</f>
        <v>0.4</v>
      </c>
      <c r="R66" s="292">
        <f>IF(Plod.25!AI66=0,0,Plod.25!AI66)</f>
        <v>1.7</v>
      </c>
      <c r="S66" s="204"/>
      <c r="T66" s="202">
        <f t="shared" si="9"/>
        <v>0</v>
      </c>
      <c r="U66" s="203">
        <f t="shared" si="10"/>
        <v>0</v>
      </c>
      <c r="V66" s="204"/>
      <c r="W66" s="204"/>
      <c r="X66" s="204"/>
    </row>
    <row r="67" spans="2:24" s="5" customFormat="1" ht="14.25" customHeight="1" x14ac:dyDescent="0.25">
      <c r="B67" s="226" t="s">
        <v>65</v>
      </c>
      <c r="C67" s="42"/>
      <c r="D67" s="309">
        <f>Plod.25!D67</f>
        <v>0</v>
      </c>
      <c r="E67" s="298"/>
      <c r="F67" s="299"/>
      <c r="G67" s="299"/>
      <c r="H67" s="300">
        <f t="shared" si="3"/>
        <v>0</v>
      </c>
      <c r="I67" s="301">
        <f t="shared" si="6"/>
        <v>0</v>
      </c>
      <c r="J67" s="201" t="str">
        <f t="shared" si="7"/>
        <v/>
      </c>
      <c r="K67" s="201" t="str">
        <f t="shared" si="8"/>
        <v/>
      </c>
      <c r="N67" s="57" t="str">
        <f>IF(Plod.25!AE67=0,"",Plod.25!AE67)</f>
        <v/>
      </c>
      <c r="O67" s="38">
        <f>IF(Plod.25!AF67=0,0,Plod.25!AF67)</f>
        <v>0</v>
      </c>
      <c r="P67" s="292">
        <f>IF(Plod.25!AG67=0,0,Plod.25!AG67)</f>
        <v>3</v>
      </c>
      <c r="Q67" s="292">
        <f>IF(Plod.25!AH67=0,0,Plod.25!AH67)</f>
        <v>0.4</v>
      </c>
      <c r="R67" s="292">
        <f>IF(Plod.25!AI67=0,0,Plod.25!AI67)</f>
        <v>3.7</v>
      </c>
      <c r="S67" s="204"/>
      <c r="T67" s="202">
        <f t="shared" si="9"/>
        <v>0</v>
      </c>
      <c r="U67" s="203">
        <f t="shared" si="10"/>
        <v>0</v>
      </c>
      <c r="V67" s="204"/>
      <c r="W67" s="204"/>
      <c r="X67" s="204"/>
    </row>
    <row r="68" spans="2:24" s="5" customFormat="1" ht="14.25" customHeight="1" x14ac:dyDescent="0.25">
      <c r="B68" s="226" t="s">
        <v>64</v>
      </c>
      <c r="C68" s="42"/>
      <c r="D68" s="309">
        <f>Plod.25!D68</f>
        <v>0</v>
      </c>
      <c r="E68" s="298"/>
      <c r="F68" s="299"/>
      <c r="G68" s="299"/>
      <c r="H68" s="300">
        <f t="shared" si="3"/>
        <v>0</v>
      </c>
      <c r="I68" s="301">
        <f t="shared" si="6"/>
        <v>0</v>
      </c>
      <c r="J68" s="201" t="str">
        <f t="shared" si="7"/>
        <v/>
      </c>
      <c r="K68" s="201" t="str">
        <f t="shared" si="8"/>
        <v/>
      </c>
      <c r="N68" s="57" t="str">
        <f>IF(Plod.25!AE68=0,"",Plod.25!AE68)</f>
        <v/>
      </c>
      <c r="O68" s="38">
        <f>IF(Plod.25!AF68=0,0,Plod.25!AF68)</f>
        <v>0</v>
      </c>
      <c r="P68" s="292">
        <f>IF(Plod.25!AG68=0,0,Plod.25!AG68)</f>
        <v>3.5</v>
      </c>
      <c r="Q68" s="292">
        <f>IF(Plod.25!AH68=0,0,Plod.25!AH68)</f>
        <v>0.5</v>
      </c>
      <c r="R68" s="292">
        <f>IF(Plod.25!AI68=0,0,Plod.25!AI68)</f>
        <v>3.3</v>
      </c>
      <c r="S68" s="204"/>
      <c r="T68" s="202">
        <f t="shared" si="9"/>
        <v>0</v>
      </c>
      <c r="U68" s="203">
        <f t="shared" si="10"/>
        <v>0</v>
      </c>
      <c r="V68" s="204"/>
      <c r="W68" s="204"/>
      <c r="X68" s="204"/>
    </row>
    <row r="69" spans="2:24" s="5" customFormat="1" ht="14.25" customHeight="1" x14ac:dyDescent="0.25">
      <c r="B69" s="226" t="s">
        <v>66</v>
      </c>
      <c r="C69" s="42"/>
      <c r="D69" s="309">
        <f>Plod.25!D69</f>
        <v>0</v>
      </c>
      <c r="E69" s="298"/>
      <c r="F69" s="299"/>
      <c r="G69" s="299"/>
      <c r="H69" s="300">
        <f t="shared" si="3"/>
        <v>0</v>
      </c>
      <c r="I69" s="301">
        <f t="shared" si="6"/>
        <v>0</v>
      </c>
      <c r="J69" s="201" t="str">
        <f t="shared" si="7"/>
        <v/>
      </c>
      <c r="K69" s="201" t="str">
        <f t="shared" si="8"/>
        <v/>
      </c>
      <c r="N69" s="57" t="str">
        <f>IF(Plod.25!AE69=0,"",Plod.25!AE69)</f>
        <v/>
      </c>
      <c r="O69" s="38">
        <f>IF(Plod.25!AF69=0,0,Plod.25!AF69)</f>
        <v>0</v>
      </c>
      <c r="P69" s="292">
        <f>IF(Plod.25!AG69=0,0,Plod.25!AG69)</f>
        <v>3.5</v>
      </c>
      <c r="Q69" s="292">
        <f>IF(Plod.25!AH69=0,0,Plod.25!AH69)</f>
        <v>0.5</v>
      </c>
      <c r="R69" s="292">
        <f>IF(Plod.25!AI69=0,0,Plod.25!AI69)</f>
        <v>3.3</v>
      </c>
      <c r="S69" s="204"/>
      <c r="T69" s="202">
        <f t="shared" si="9"/>
        <v>0</v>
      </c>
      <c r="U69" s="203">
        <f t="shared" si="10"/>
        <v>0</v>
      </c>
      <c r="V69" s="204"/>
      <c r="W69" s="204"/>
      <c r="X69" s="204"/>
    </row>
    <row r="70" spans="2:24" s="5" customFormat="1" ht="14.25" customHeight="1" x14ac:dyDescent="0.25">
      <c r="B70" s="226" t="s">
        <v>72</v>
      </c>
      <c r="C70" s="42"/>
      <c r="D70" s="309">
        <f>Plod.25!D70</f>
        <v>0</v>
      </c>
      <c r="E70" s="298"/>
      <c r="F70" s="299"/>
      <c r="G70" s="299"/>
      <c r="H70" s="300">
        <f t="shared" si="3"/>
        <v>0</v>
      </c>
      <c r="I70" s="301">
        <f t="shared" si="6"/>
        <v>0</v>
      </c>
      <c r="J70" s="201" t="str">
        <f t="shared" si="7"/>
        <v/>
      </c>
      <c r="K70" s="201" t="str">
        <f t="shared" si="8"/>
        <v/>
      </c>
      <c r="N70" s="57" t="str">
        <f>IF(Plod.25!AE70=0,"",Plod.25!AE70)</f>
        <v/>
      </c>
      <c r="O70" s="38">
        <f>IF(Plod.25!AF70=0,0,Plod.25!AF70)</f>
        <v>0</v>
      </c>
      <c r="P70" s="292">
        <f>IF(Plod.25!AG70=0,0,Plod.25!AG70)</f>
        <v>3</v>
      </c>
      <c r="Q70" s="292">
        <f>IF(Plod.25!AH70=0,0,Plod.25!AH70)</f>
        <v>0.4</v>
      </c>
      <c r="R70" s="292">
        <f>IF(Plod.25!AI70=0,0,Plod.25!AI70)</f>
        <v>2.7</v>
      </c>
      <c r="S70" s="204"/>
      <c r="T70" s="202">
        <f t="shared" si="9"/>
        <v>0</v>
      </c>
      <c r="U70" s="203">
        <f t="shared" si="10"/>
        <v>0</v>
      </c>
      <c r="V70" s="204"/>
      <c r="W70" s="204"/>
      <c r="X70" s="204"/>
    </row>
    <row r="71" spans="2:24" s="5" customFormat="1" ht="14.25" customHeight="1" x14ac:dyDescent="0.25">
      <c r="B71" s="226" t="s">
        <v>68</v>
      </c>
      <c r="C71" s="42"/>
      <c r="D71" s="309">
        <f>Plod.25!D71</f>
        <v>0</v>
      </c>
      <c r="E71" s="298"/>
      <c r="F71" s="299"/>
      <c r="G71" s="299"/>
      <c r="H71" s="300">
        <f t="shared" si="3"/>
        <v>0</v>
      </c>
      <c r="I71" s="301">
        <f t="shared" si="6"/>
        <v>0</v>
      </c>
      <c r="J71" s="201" t="str">
        <f t="shared" si="7"/>
        <v/>
      </c>
      <c r="K71" s="201" t="str">
        <f t="shared" si="8"/>
        <v/>
      </c>
      <c r="N71" s="57" t="str">
        <f>IF(Plod.25!AE71=0,"",Plod.25!AE71)</f>
        <v/>
      </c>
      <c r="O71" s="38">
        <f>IF(Plod.25!AF71=0,0,Plod.25!AF71)</f>
        <v>0</v>
      </c>
      <c r="P71" s="292">
        <f>IF(Plod.25!AG71=0,0,Plod.25!AG71)</f>
        <v>2</v>
      </c>
      <c r="Q71" s="292">
        <f>IF(Plod.25!AH71=0,0,Plod.25!AH71)</f>
        <v>0.4</v>
      </c>
      <c r="R71" s="292">
        <f>IF(Plod.25!AI71=0,0,Plod.25!AI71)</f>
        <v>4.2</v>
      </c>
      <c r="S71" s="204"/>
      <c r="T71" s="202">
        <f t="shared" si="9"/>
        <v>0</v>
      </c>
      <c r="U71" s="203">
        <f t="shared" si="10"/>
        <v>0</v>
      </c>
      <c r="V71" s="204"/>
      <c r="W71" s="204"/>
      <c r="X71" s="204"/>
    </row>
    <row r="72" spans="2:24" s="5" customFormat="1" ht="14.25" customHeight="1" x14ac:dyDescent="0.25">
      <c r="B72" s="226" t="s">
        <v>69</v>
      </c>
      <c r="C72" s="42"/>
      <c r="D72" s="309">
        <f>Plod.25!D72</f>
        <v>0</v>
      </c>
      <c r="E72" s="298"/>
      <c r="F72" s="299"/>
      <c r="G72" s="299"/>
      <c r="H72" s="300">
        <f t="shared" si="3"/>
        <v>0</v>
      </c>
      <c r="I72" s="301">
        <f t="shared" ref="I72:I78" si="11">IF(E72=0,0,IF((E72-G72)/E72&lt;0.3,0,(E72-G72)*F72*P72/1000))</f>
        <v>0</v>
      </c>
      <c r="J72" s="201" t="str">
        <f t="shared" ref="J72:J78" si="12">IF(T72&lt;0,"!","")</f>
        <v/>
      </c>
      <c r="K72" s="201" t="str">
        <f t="shared" ref="K72:K78" si="13">IF(U72&lt;0,"!","")</f>
        <v/>
      </c>
      <c r="N72" s="57" t="str">
        <f>IF(Plod.25!AE72=0,"",Plod.25!AE72)</f>
        <v/>
      </c>
      <c r="O72" s="38">
        <f>IF(Plod.25!AF72=0,0,Plod.25!AF72)</f>
        <v>0</v>
      </c>
      <c r="P72" s="292">
        <f>IF(Plod.25!AG72=0,0,Plod.25!AG72)</f>
        <v>1.8</v>
      </c>
      <c r="Q72" s="292">
        <f>IF(Plod.25!AH72=0,0,Plod.25!AH72)</f>
        <v>0.3</v>
      </c>
      <c r="R72" s="292">
        <f>IF(Plod.25!AI72=0,0,Plod.25!AI72)</f>
        <v>2.9</v>
      </c>
      <c r="S72" s="204"/>
      <c r="T72" s="202">
        <f t="shared" ref="T72:T78" si="14">D72-F72</f>
        <v>0</v>
      </c>
      <c r="U72" s="203">
        <f t="shared" ref="U72:U78" si="15">E72-G72</f>
        <v>0</v>
      </c>
      <c r="V72" s="204"/>
      <c r="W72" s="204"/>
      <c r="X72" s="204"/>
    </row>
    <row r="73" spans="2:24" s="5" customFormat="1" ht="14.25" customHeight="1" x14ac:dyDescent="0.25">
      <c r="B73" s="226" t="s">
        <v>71</v>
      </c>
      <c r="C73" s="42"/>
      <c r="D73" s="309">
        <f>Plod.25!D73</f>
        <v>0</v>
      </c>
      <c r="E73" s="298"/>
      <c r="F73" s="299"/>
      <c r="G73" s="299"/>
      <c r="H73" s="300">
        <f t="shared" si="3"/>
        <v>0</v>
      </c>
      <c r="I73" s="301">
        <f t="shared" si="11"/>
        <v>0</v>
      </c>
      <c r="J73" s="201" t="str">
        <f t="shared" si="12"/>
        <v/>
      </c>
      <c r="K73" s="201" t="str">
        <f t="shared" si="13"/>
        <v/>
      </c>
      <c r="N73" s="57" t="str">
        <f>IF(Plod.25!AE73=0,"",Plod.25!AE73)</f>
        <v/>
      </c>
      <c r="O73" s="38">
        <f>IF(Plod.25!AF73=0,0,Plod.25!AF73)</f>
        <v>0</v>
      </c>
      <c r="P73" s="292">
        <f>IF(Plod.25!AG73=0,0,Plod.25!AG73)</f>
        <v>4</v>
      </c>
      <c r="Q73" s="292">
        <f>IF(Plod.25!AH73=0,0,Plod.25!AH73)</f>
        <v>0.6</v>
      </c>
      <c r="R73" s="292">
        <f>IF(Plod.25!AI73=0,0,Plod.25!AI73)</f>
        <v>5.8</v>
      </c>
      <c r="S73" s="204"/>
      <c r="T73" s="202">
        <f t="shared" si="14"/>
        <v>0</v>
      </c>
      <c r="U73" s="203">
        <f t="shared" si="15"/>
        <v>0</v>
      </c>
      <c r="V73" s="204"/>
      <c r="W73" s="204"/>
      <c r="X73" s="204"/>
    </row>
    <row r="74" spans="2:24" s="5" customFormat="1" ht="14.25" customHeight="1" x14ac:dyDescent="0.25">
      <c r="B74" s="681" t="s">
        <v>166</v>
      </c>
      <c r="C74" s="41" t="s">
        <v>192</v>
      </c>
      <c r="D74" s="309">
        <f>Plod.25!D74</f>
        <v>0</v>
      </c>
      <c r="E74" s="298"/>
      <c r="F74" s="299"/>
      <c r="G74" s="299"/>
      <c r="H74" s="300">
        <f t="shared" si="3"/>
        <v>0</v>
      </c>
      <c r="I74" s="301">
        <f t="shared" si="11"/>
        <v>0</v>
      </c>
      <c r="J74" s="201" t="str">
        <f t="shared" si="12"/>
        <v/>
      </c>
      <c r="K74" s="201" t="str">
        <f t="shared" si="13"/>
        <v/>
      </c>
      <c r="N74" s="57" t="str">
        <f>IF(Plod.25!AE74=0,"",Plod.25!AE74)</f>
        <v>zelené zrno</v>
      </c>
      <c r="O74" s="38">
        <f>IF(Plod.25!AF74=0,0,Plod.25!AF74)</f>
        <v>0.15</v>
      </c>
      <c r="P74" s="292">
        <f>IF(Plod.25!AG74=0,0,Plod.25!AG74)</f>
        <v>11</v>
      </c>
      <c r="Q74" s="292">
        <f>IF(Plod.25!AH74=0,0,Plod.25!AH74)</f>
        <v>1.1000000000000001</v>
      </c>
      <c r="R74" s="292">
        <f>IF(Plod.25!AI74=0,0,Plod.25!AI74)</f>
        <v>3.3</v>
      </c>
      <c r="S74" s="204"/>
      <c r="T74" s="202">
        <f t="shared" si="14"/>
        <v>0</v>
      </c>
      <c r="U74" s="203">
        <f t="shared" si="15"/>
        <v>0</v>
      </c>
      <c r="V74" s="204"/>
      <c r="W74" s="204"/>
      <c r="X74" s="204"/>
    </row>
    <row r="75" spans="2:24" s="5" customFormat="1" ht="14.25" customHeight="1" x14ac:dyDescent="0.25">
      <c r="B75" s="682"/>
      <c r="C75" s="41" t="s">
        <v>193</v>
      </c>
      <c r="D75" s="309">
        <f>Plod.25!D75</f>
        <v>0</v>
      </c>
      <c r="E75" s="298"/>
      <c r="F75" s="299"/>
      <c r="G75" s="299"/>
      <c r="H75" s="300">
        <f>IF(F75=0,0,IF(E75=0,0,IF((E75-G75)/E75&lt;0,0,(E75-G75)/E75)))</f>
        <v>0</v>
      </c>
      <c r="I75" s="301">
        <f t="shared" si="11"/>
        <v>0</v>
      </c>
      <c r="J75" s="201" t="str">
        <f t="shared" si="12"/>
        <v/>
      </c>
      <c r="K75" s="201" t="str">
        <f t="shared" si="13"/>
        <v/>
      </c>
      <c r="N75" s="57" t="str">
        <f>IF(Plod.25!AE75=0,"",Plod.25!AE75)</f>
        <v>lusky</v>
      </c>
      <c r="O75" s="38">
        <f>IF(Plod.25!AF75=0,0,Plod.25!AF75)</f>
        <v>0.15</v>
      </c>
      <c r="P75" s="292">
        <f>IF(Plod.25!AG75=0,0,Plod.25!AG75)</f>
        <v>5</v>
      </c>
      <c r="Q75" s="292">
        <f>IF(Plod.25!AH75=0,0,Plod.25!AH75)</f>
        <v>0.7</v>
      </c>
      <c r="R75" s="292">
        <f>IF(Plod.25!AI75=0,0,Plod.25!AI75)</f>
        <v>3.3</v>
      </c>
      <c r="S75" s="204"/>
      <c r="T75" s="202">
        <f t="shared" si="14"/>
        <v>0</v>
      </c>
      <c r="U75" s="203">
        <f t="shared" si="15"/>
        <v>0</v>
      </c>
      <c r="V75" s="204"/>
      <c r="W75" s="204"/>
      <c r="X75" s="204"/>
    </row>
    <row r="76" spans="2:24" s="5" customFormat="1" ht="14.25" customHeight="1" x14ac:dyDescent="0.25">
      <c r="B76" s="226" t="s">
        <v>167</v>
      </c>
      <c r="C76" s="42"/>
      <c r="D76" s="309">
        <f>Plod.25!D76</f>
        <v>0</v>
      </c>
      <c r="E76" s="298"/>
      <c r="F76" s="299"/>
      <c r="G76" s="299"/>
      <c r="H76" s="300">
        <f>IF(F76=0,0,IF(E76=0,0,IF((E76-G76)/E76&lt;0,0,(E76-G76)/E76)))</f>
        <v>0</v>
      </c>
      <c r="I76" s="301">
        <f t="shared" si="11"/>
        <v>0</v>
      </c>
      <c r="J76" s="201" t="str">
        <f t="shared" si="12"/>
        <v/>
      </c>
      <c r="K76" s="201" t="str">
        <f t="shared" si="13"/>
        <v/>
      </c>
      <c r="N76" s="57" t="str">
        <f>IF(Plod.25!AE76=0,"",Plod.25!AE76)</f>
        <v>lusky</v>
      </c>
      <c r="O76" s="38">
        <f>IF(Plod.25!AF76=0,0,Plod.25!AF76)</f>
        <v>0.12</v>
      </c>
      <c r="P76" s="292">
        <f>IF(Plod.25!AG76=0,0,Plod.25!AG76)</f>
        <v>4</v>
      </c>
      <c r="Q76" s="292">
        <f>IF(Plod.25!AH76=0,0,Plod.25!AH76)</f>
        <v>0.7</v>
      </c>
      <c r="R76" s="292">
        <f>IF(Plod.25!AI76=0,0,Plod.25!AI76)</f>
        <v>2.5</v>
      </c>
      <c r="S76" s="204"/>
      <c r="T76" s="202">
        <f t="shared" si="14"/>
        <v>0</v>
      </c>
      <c r="U76" s="203">
        <f t="shared" si="15"/>
        <v>0</v>
      </c>
      <c r="V76" s="204"/>
      <c r="W76" s="204"/>
      <c r="X76" s="204"/>
    </row>
    <row r="77" spans="2:24" s="5" customFormat="1" ht="14.25" customHeight="1" x14ac:dyDescent="0.25">
      <c r="B77" s="226" t="s">
        <v>94</v>
      </c>
      <c r="C77" s="42"/>
      <c r="D77" s="309">
        <f>Plod.25!D77</f>
        <v>0</v>
      </c>
      <c r="E77" s="298"/>
      <c r="F77" s="299"/>
      <c r="G77" s="299"/>
      <c r="H77" s="300">
        <f>IF(F77=0,0,IF(E77=0,0,IF((E77-G77)/E77&lt;0,0,(E77-G77)/E77)))</f>
        <v>0</v>
      </c>
      <c r="I77" s="301">
        <f t="shared" si="11"/>
        <v>0</v>
      </c>
      <c r="J77" s="201" t="str">
        <f t="shared" si="12"/>
        <v/>
      </c>
      <c r="K77" s="201" t="str">
        <f t="shared" si="13"/>
        <v/>
      </c>
      <c r="N77" s="57" t="str">
        <f>IF(Plod.25!AE77=0,"",Plod.25!AE77)</f>
        <v/>
      </c>
      <c r="O77" s="38">
        <f>IF(Plod.25!AF77=0,0,Plod.25!AF77)</f>
        <v>0</v>
      </c>
      <c r="P77" s="292">
        <f>IF(Plod.25!AG77=0,0,Plod.25!AG77)</f>
        <v>2.5</v>
      </c>
      <c r="Q77" s="292">
        <f>IF(Plod.25!AH77=0,0,Plod.25!AH77)</f>
        <v>0.4</v>
      </c>
      <c r="R77" s="292">
        <f>IF(Plod.25!AI77=0,0,Plod.25!AI77)</f>
        <v>4</v>
      </c>
      <c r="S77" s="204"/>
      <c r="T77" s="202">
        <f t="shared" si="14"/>
        <v>0</v>
      </c>
      <c r="U77" s="203">
        <f t="shared" si="15"/>
        <v>0</v>
      </c>
      <c r="V77" s="204"/>
      <c r="W77" s="204"/>
      <c r="X77" s="204"/>
    </row>
    <row r="78" spans="2:24" s="5" customFormat="1" ht="14.25" customHeight="1" x14ac:dyDescent="0.25">
      <c r="B78" s="226" t="s">
        <v>287</v>
      </c>
      <c r="C78" s="42"/>
      <c r="D78" s="297">
        <f>Plod.25!D78</f>
        <v>0</v>
      </c>
      <c r="E78" s="298"/>
      <c r="F78" s="299"/>
      <c r="G78" s="299"/>
      <c r="H78" s="300">
        <f>IF(F78=0,0,IF(E78=0,0,IF((E78-G78)/E78&lt;0,0,(E78-G78)/E78)))</f>
        <v>0</v>
      </c>
      <c r="I78" s="301">
        <f t="shared" si="11"/>
        <v>0</v>
      </c>
      <c r="J78" s="201" t="str">
        <f t="shared" si="12"/>
        <v/>
      </c>
      <c r="K78" s="201" t="str">
        <f t="shared" si="13"/>
        <v/>
      </c>
      <c r="N78" s="57" t="str">
        <f>IF(Plod.25!AE78=0,"",Plod.25!AE78)</f>
        <v/>
      </c>
      <c r="O78" s="38">
        <f>IF(Plod.25!AF78=0,0,Plod.25!AF78)</f>
        <v>0.15</v>
      </c>
      <c r="P78" s="292">
        <f>IF(Plod.25!AG78=0,0,Plod.25!AG78)</f>
        <v>1.7</v>
      </c>
      <c r="Q78" s="292">
        <f>IF(Plod.25!AH78=0,0,Plod.25!AH78)</f>
        <v>0.2</v>
      </c>
      <c r="R78" s="292">
        <f>IF(Plod.25!AI78=0,0,Plod.25!AI78)</f>
        <v>2.2999999999999998</v>
      </c>
      <c r="S78" s="204"/>
      <c r="T78" s="202">
        <f t="shared" si="14"/>
        <v>0</v>
      </c>
      <c r="U78" s="203">
        <f t="shared" si="15"/>
        <v>0</v>
      </c>
      <c r="V78" s="204"/>
      <c r="W78" s="204"/>
      <c r="X78" s="204"/>
    </row>
    <row r="79" spans="2:24" s="5" customFormat="1" ht="14.25" customHeight="1" x14ac:dyDescent="0.25">
      <c r="B79" s="683" t="s">
        <v>265</v>
      </c>
      <c r="C79" s="684"/>
      <c r="D79" s="297">
        <f>Plod.25!D79</f>
        <v>0</v>
      </c>
      <c r="E79" s="314"/>
      <c r="F79" s="315"/>
      <c r="G79" s="315"/>
      <c r="H79" s="316"/>
      <c r="I79" s="317"/>
      <c r="J79" s="206"/>
      <c r="K79" s="206"/>
      <c r="L79" s="206"/>
      <c r="M79" s="206"/>
      <c r="N79" s="275"/>
      <c r="O79" s="207"/>
      <c r="P79" s="43"/>
      <c r="Q79" s="43"/>
      <c r="R79" s="43"/>
      <c r="S79" s="204"/>
      <c r="V79" s="204"/>
      <c r="W79" s="204"/>
      <c r="X79" s="204"/>
    </row>
    <row r="80" spans="2:24" s="4" customFormat="1" ht="14.25" customHeight="1" x14ac:dyDescent="0.25">
      <c r="B80" s="766" t="s">
        <v>198</v>
      </c>
      <c r="C80" s="767"/>
      <c r="D80" s="208">
        <f>SUM(D10:D79)-D57-D62</f>
        <v>0</v>
      </c>
      <c r="E80" s="209"/>
      <c r="F80" s="208">
        <f>(SUM(F10:F79))</f>
        <v>0</v>
      </c>
      <c r="G80" s="210"/>
      <c r="H80" s="211"/>
      <c r="I80" s="208">
        <f>SUM(I10:I79)</f>
        <v>0</v>
      </c>
      <c r="J80" s="212"/>
      <c r="K80" s="212"/>
      <c r="L80" s="212"/>
      <c r="M80" s="212"/>
      <c r="N80" s="276"/>
      <c r="O80" s="213"/>
      <c r="P80" s="213"/>
      <c r="Q80" s="213"/>
      <c r="R80" s="213"/>
      <c r="S80" s="214"/>
      <c r="V80" s="214"/>
      <c r="W80" s="214"/>
      <c r="X80" s="214"/>
    </row>
    <row r="81" spans="2:24" x14ac:dyDescent="0.25">
      <c r="D81" s="215"/>
      <c r="E81" s="216"/>
      <c r="F81" s="216"/>
      <c r="G81" s="216"/>
      <c r="H81" s="217" t="s">
        <v>286</v>
      </c>
      <c r="I81" s="229">
        <f>D8*60/1000</f>
        <v>0</v>
      </c>
      <c r="J81" s="206"/>
      <c r="K81" s="206"/>
      <c r="L81" s="206"/>
      <c r="M81" s="206"/>
      <c r="N81" s="277"/>
      <c r="O81" s="44"/>
      <c r="S81" s="13"/>
      <c r="V81" s="13"/>
      <c r="W81" s="13"/>
      <c r="X81" s="13"/>
    </row>
    <row r="82" spans="2:24" x14ac:dyDescent="0.25">
      <c r="D82" s="215"/>
      <c r="E82" s="218"/>
      <c r="F82" s="218"/>
      <c r="G82" s="218"/>
      <c r="H82" s="219" t="s">
        <v>263</v>
      </c>
      <c r="I82" s="208">
        <f>I80+I81</f>
        <v>0</v>
      </c>
      <c r="J82" s="212"/>
      <c r="K82" s="212"/>
      <c r="L82" s="212"/>
      <c r="M82" s="212"/>
      <c r="N82" s="277"/>
      <c r="S82" s="13"/>
      <c r="V82" s="13"/>
      <c r="W82" s="13"/>
      <c r="X82" s="13"/>
    </row>
    <row r="83" spans="2:24" x14ac:dyDescent="0.25">
      <c r="O83" s="44"/>
      <c r="S83" s="13"/>
      <c r="V83" s="13"/>
      <c r="W83" s="13"/>
      <c r="X83" s="13"/>
    </row>
    <row r="84" spans="2:24" x14ac:dyDescent="0.25">
      <c r="B84" s="713" t="str">
        <f>Plod.24!B83</f>
        <v>Verze 1 (15. 4. 2025); kontakty (CARC): www.carc.cz, Ing. Jan Klír, CSc. (603 520 684; jan.klir@carc.cz), Ing. Lada Kozlovská (733 375 632; lada.kozlovska@carc.cz)</v>
      </c>
      <c r="C84" s="713"/>
      <c r="D84" s="713"/>
      <c r="E84" s="713"/>
      <c r="F84" s="713"/>
      <c r="G84" s="713"/>
      <c r="H84" s="713"/>
      <c r="I84" s="713"/>
      <c r="J84" s="26"/>
      <c r="K84" s="26"/>
      <c r="L84" s="26"/>
      <c r="M84" s="26"/>
      <c r="N84" s="278"/>
      <c r="O84" s="13"/>
      <c r="P84" s="13"/>
      <c r="Q84" s="13"/>
      <c r="R84" s="13"/>
      <c r="S84" s="13"/>
      <c r="T84" s="13"/>
      <c r="V84" s="13"/>
      <c r="W84" s="13"/>
      <c r="X84" s="13"/>
    </row>
    <row r="85" spans="2:24" x14ac:dyDescent="0.25">
      <c r="B85" s="13"/>
      <c r="C85" s="13"/>
      <c r="D85" s="13"/>
      <c r="E85" s="26"/>
      <c r="F85" s="26"/>
      <c r="G85" s="26"/>
      <c r="H85" s="26"/>
      <c r="I85" s="26"/>
      <c r="J85" s="26"/>
      <c r="K85" s="26"/>
      <c r="L85" s="26"/>
      <c r="M85" s="26"/>
      <c r="N85" s="278"/>
      <c r="O85" s="13"/>
      <c r="P85" s="13"/>
      <c r="Q85" s="13"/>
      <c r="R85" s="13"/>
      <c r="S85" s="13"/>
      <c r="T85" s="13"/>
      <c r="V85" s="13"/>
      <c r="W85" s="13"/>
      <c r="X85" s="13"/>
    </row>
    <row r="86" spans="2:24" x14ac:dyDescent="0.25">
      <c r="B86" s="13"/>
      <c r="C86" s="13"/>
      <c r="D86" s="13"/>
      <c r="E86" s="26"/>
      <c r="F86" s="26"/>
      <c r="G86" s="26"/>
      <c r="H86" s="26"/>
      <c r="I86" s="26"/>
      <c r="J86" s="26"/>
      <c r="K86" s="26"/>
      <c r="L86" s="26"/>
      <c r="M86" s="26"/>
      <c r="N86" s="278"/>
      <c r="O86" s="13"/>
      <c r="P86" s="13"/>
      <c r="Q86" s="13"/>
      <c r="R86" s="13"/>
      <c r="S86" s="13"/>
      <c r="T86" s="13"/>
      <c r="V86" s="13"/>
      <c r="W86" s="13"/>
      <c r="X86" s="13"/>
    </row>
    <row r="87" spans="2:24" x14ac:dyDescent="0.25">
      <c r="B87" s="13"/>
      <c r="C87" s="13"/>
      <c r="D87" s="13"/>
      <c r="E87" s="220"/>
      <c r="F87" s="220"/>
      <c r="G87" s="220"/>
      <c r="H87" s="220"/>
      <c r="I87" s="220"/>
      <c r="J87" s="220"/>
      <c r="K87" s="220"/>
      <c r="L87" s="220"/>
      <c r="M87" s="220"/>
      <c r="N87" s="278"/>
      <c r="O87" s="13"/>
      <c r="P87" s="13"/>
      <c r="Q87" s="13"/>
      <c r="R87" s="13"/>
      <c r="S87" s="13"/>
      <c r="T87" s="13"/>
      <c r="V87" s="13"/>
      <c r="W87" s="13"/>
      <c r="X87" s="13"/>
    </row>
    <row r="88" spans="2:24" x14ac:dyDescent="0.25">
      <c r="B88" s="13"/>
      <c r="C88" s="13"/>
      <c r="D88" s="13"/>
      <c r="E88" s="26"/>
      <c r="F88" s="26"/>
      <c r="G88" s="26"/>
      <c r="H88" s="26"/>
      <c r="I88" s="26"/>
      <c r="J88" s="26"/>
      <c r="K88" s="26"/>
      <c r="L88" s="26"/>
      <c r="M88" s="26"/>
      <c r="N88" s="278"/>
      <c r="O88" s="13"/>
      <c r="P88" s="13"/>
      <c r="Q88" s="13"/>
      <c r="R88" s="13"/>
      <c r="S88" s="13"/>
      <c r="T88" s="13"/>
      <c r="V88" s="13"/>
      <c r="W88" s="13"/>
      <c r="X88" s="13"/>
    </row>
    <row r="89" spans="2:24" x14ac:dyDescent="0.25">
      <c r="B89" s="13"/>
      <c r="C89" s="13"/>
      <c r="D89" s="13"/>
      <c r="E89" s="26"/>
      <c r="F89" s="26"/>
      <c r="G89" s="26"/>
      <c r="H89" s="26"/>
      <c r="I89" s="26"/>
      <c r="J89" s="26"/>
      <c r="K89" s="26"/>
      <c r="L89" s="26"/>
      <c r="M89" s="26"/>
      <c r="N89" s="278"/>
      <c r="O89" s="13"/>
      <c r="P89" s="13"/>
      <c r="Q89" s="13"/>
      <c r="R89" s="13"/>
      <c r="S89" s="13"/>
      <c r="T89" s="13"/>
      <c r="V89" s="13"/>
      <c r="W89" s="13"/>
      <c r="X89" s="13"/>
    </row>
    <row r="90" spans="2:24" x14ac:dyDescent="0.25">
      <c r="B90" s="13"/>
      <c r="C90" s="13"/>
      <c r="D90" s="13"/>
      <c r="E90" s="26"/>
      <c r="F90" s="26"/>
      <c r="G90" s="26"/>
      <c r="H90" s="26"/>
      <c r="I90" s="26"/>
      <c r="J90" s="26"/>
      <c r="K90" s="26"/>
      <c r="L90" s="26"/>
      <c r="M90" s="26"/>
      <c r="N90" s="278"/>
      <c r="O90" s="13"/>
      <c r="P90" s="13"/>
      <c r="Q90" s="13"/>
      <c r="R90" s="13"/>
      <c r="S90" s="13"/>
      <c r="T90" s="13"/>
      <c r="V90" s="13"/>
      <c r="W90" s="13"/>
      <c r="X90" s="13"/>
    </row>
    <row r="91" spans="2:24" x14ac:dyDescent="0.25">
      <c r="B91" s="13"/>
      <c r="C91" s="13"/>
      <c r="D91" s="13"/>
      <c r="E91" s="26"/>
      <c r="F91" s="26"/>
      <c r="G91" s="26"/>
      <c r="H91" s="26"/>
      <c r="I91" s="26"/>
      <c r="J91" s="26"/>
      <c r="K91" s="26"/>
      <c r="L91" s="26"/>
      <c r="M91" s="26"/>
      <c r="N91" s="278"/>
      <c r="O91" s="13"/>
      <c r="P91" s="13"/>
      <c r="Q91" s="13"/>
      <c r="R91" s="13"/>
      <c r="S91" s="13"/>
      <c r="T91" s="13"/>
      <c r="V91" s="13"/>
      <c r="W91" s="13"/>
      <c r="X91" s="13"/>
    </row>
    <row r="92" spans="2:24" x14ac:dyDescent="0.25">
      <c r="B92" s="13"/>
      <c r="C92" s="13"/>
      <c r="D92" s="13"/>
      <c r="E92" s="26"/>
      <c r="F92" s="26"/>
      <c r="G92" s="26"/>
      <c r="H92" s="26"/>
      <c r="I92" s="26"/>
      <c r="J92" s="26"/>
      <c r="K92" s="26"/>
      <c r="L92" s="26"/>
      <c r="M92" s="26"/>
      <c r="N92" s="278"/>
      <c r="O92" s="13"/>
      <c r="P92" s="13"/>
      <c r="Q92" s="13"/>
      <c r="R92" s="13"/>
      <c r="S92" s="13"/>
      <c r="T92" s="13"/>
      <c r="V92" s="13"/>
      <c r="W92" s="13"/>
      <c r="X92" s="13"/>
    </row>
    <row r="93" spans="2:24" x14ac:dyDescent="0.25">
      <c r="B93" s="13"/>
      <c r="C93" s="13"/>
      <c r="D93" s="13"/>
      <c r="E93" s="26"/>
      <c r="F93" s="26"/>
      <c r="G93" s="26"/>
      <c r="H93" s="26"/>
      <c r="I93" s="26"/>
      <c r="J93" s="26"/>
      <c r="K93" s="26"/>
      <c r="L93" s="26"/>
      <c r="M93" s="26"/>
      <c r="N93" s="278"/>
      <c r="O93" s="13"/>
      <c r="P93" s="13"/>
      <c r="Q93" s="13"/>
      <c r="R93" s="13"/>
      <c r="S93" s="13"/>
      <c r="T93" s="13"/>
      <c r="V93" s="13"/>
      <c r="W93" s="13"/>
      <c r="X93" s="13"/>
    </row>
    <row r="94" spans="2:24" x14ac:dyDescent="0.25">
      <c r="B94" s="13"/>
      <c r="C94" s="13"/>
      <c r="D94" s="13"/>
      <c r="E94" s="26"/>
      <c r="F94" s="26"/>
      <c r="G94" s="26"/>
      <c r="H94" s="26"/>
      <c r="I94" s="26"/>
      <c r="J94" s="26"/>
      <c r="K94" s="26"/>
      <c r="L94" s="26"/>
      <c r="M94" s="26"/>
      <c r="N94" s="278"/>
      <c r="O94" s="13"/>
      <c r="P94" s="13"/>
      <c r="Q94" s="13"/>
      <c r="R94" s="13"/>
      <c r="S94" s="13"/>
      <c r="T94" s="13"/>
      <c r="V94" s="13"/>
      <c r="W94" s="13"/>
      <c r="X94" s="13"/>
    </row>
    <row r="95" spans="2:24" x14ac:dyDescent="0.25">
      <c r="B95" s="13"/>
      <c r="C95" s="13"/>
      <c r="D95" s="13"/>
      <c r="E95" s="26"/>
      <c r="F95" s="26"/>
      <c r="G95" s="26"/>
      <c r="H95" s="26"/>
      <c r="I95" s="26"/>
      <c r="J95" s="26"/>
      <c r="K95" s="26"/>
      <c r="L95" s="26"/>
      <c r="M95" s="26"/>
      <c r="N95" s="278"/>
      <c r="O95" s="13"/>
      <c r="P95" s="13"/>
      <c r="Q95" s="13"/>
      <c r="R95" s="13"/>
      <c r="S95" s="13"/>
      <c r="T95" s="13"/>
      <c r="V95" s="13"/>
      <c r="W95" s="13"/>
      <c r="X95" s="13"/>
    </row>
    <row r="96" spans="2:24" x14ac:dyDescent="0.25">
      <c r="B96" s="13"/>
      <c r="C96" s="13"/>
      <c r="D96" s="13"/>
      <c r="E96" s="26"/>
      <c r="F96" s="26"/>
      <c r="G96" s="26"/>
      <c r="H96" s="26"/>
      <c r="I96" s="26"/>
      <c r="J96" s="26"/>
      <c r="K96" s="26"/>
      <c r="L96" s="26"/>
      <c r="M96" s="26"/>
      <c r="N96" s="278"/>
      <c r="O96" s="13"/>
      <c r="P96" s="13"/>
      <c r="Q96" s="13"/>
      <c r="R96" s="13"/>
      <c r="S96" s="13"/>
      <c r="T96" s="13"/>
      <c r="V96" s="13"/>
      <c r="W96" s="13"/>
      <c r="X96" s="13"/>
    </row>
    <row r="97" spans="2:24" x14ac:dyDescent="0.25">
      <c r="B97" s="13"/>
      <c r="C97" s="13"/>
      <c r="D97" s="13"/>
      <c r="E97" s="26"/>
      <c r="F97" s="26"/>
      <c r="G97" s="26"/>
      <c r="H97" s="26"/>
      <c r="I97" s="26"/>
      <c r="J97" s="26"/>
      <c r="K97" s="26"/>
      <c r="L97" s="26"/>
      <c r="M97" s="26"/>
      <c r="N97" s="278"/>
      <c r="O97" s="13"/>
      <c r="P97" s="13"/>
      <c r="Q97" s="13"/>
      <c r="R97" s="13"/>
      <c r="S97" s="13"/>
      <c r="T97" s="13"/>
      <c r="V97" s="13"/>
      <c r="W97" s="13"/>
      <c r="X97" s="13"/>
    </row>
    <row r="98" spans="2:24" x14ac:dyDescent="0.25">
      <c r="B98" s="13"/>
      <c r="C98" s="13"/>
      <c r="D98" s="13"/>
      <c r="E98" s="26"/>
      <c r="F98" s="26"/>
      <c r="G98" s="26"/>
      <c r="H98" s="26"/>
      <c r="I98" s="26"/>
      <c r="J98" s="26"/>
      <c r="K98" s="26"/>
      <c r="L98" s="26"/>
      <c r="M98" s="26"/>
      <c r="N98" s="278"/>
      <c r="O98" s="13"/>
      <c r="P98" s="13"/>
      <c r="Q98" s="13"/>
      <c r="R98" s="13"/>
      <c r="S98" s="13"/>
      <c r="T98" s="13"/>
      <c r="V98" s="13"/>
      <c r="W98" s="13"/>
      <c r="X98" s="13"/>
    </row>
  </sheetData>
  <sheetProtection algorithmName="SHA-512" hashValue="zipEI2dK2etdD7cDWs+735v0ElgcXcRyNXbnvzEKIWEGrbpgFyE6ZgBLxuiOeZdxzYTFILRbjlj+Oct9I4v0Wg==" saltValue="ieAYdmv5AvjxwfQmdgl4Ug==" spinCount="100000" sheet="1" objects="1" scenarios="1" formatCells="0" formatColumns="0" formatRows="0" selectLockedCells="1"/>
  <mergeCells count="21">
    <mergeCell ref="B84:I84"/>
    <mergeCell ref="D2:I2"/>
    <mergeCell ref="B7:D7"/>
    <mergeCell ref="E7:I8"/>
    <mergeCell ref="J7:J9"/>
    <mergeCell ref="B80:C80"/>
    <mergeCell ref="B10:B11"/>
    <mergeCell ref="B15:B16"/>
    <mergeCell ref="B27:B28"/>
    <mergeCell ref="B74:B75"/>
    <mergeCell ref="B79:C79"/>
    <mergeCell ref="B1:B2"/>
    <mergeCell ref="B3:B6"/>
    <mergeCell ref="K7:K9"/>
    <mergeCell ref="D3:I3"/>
    <mergeCell ref="N7:R7"/>
    <mergeCell ref="B8:C8"/>
    <mergeCell ref="N8:N9"/>
    <mergeCell ref="O8:O9"/>
    <mergeCell ref="P8:R8"/>
    <mergeCell ref="B9:C9"/>
  </mergeCells>
  <conditionalFormatting sqref="J10:K78">
    <cfRule type="cellIs" dxfId="54" priority="1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5A4-218D-41F8-83C5-BBCD22F161FE}">
  <sheetPr>
    <tabColor theme="3" tint="0.59999389629810485"/>
  </sheetPr>
  <dimension ref="A1:I101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85546875" customWidth="1"/>
    <col min="2" max="2" width="20.5703125" customWidth="1"/>
    <col min="3" max="3" width="9.42578125" customWidth="1"/>
    <col min="4" max="4" width="10.28515625" customWidth="1"/>
    <col min="5" max="5" width="9.42578125" customWidth="1"/>
    <col min="6" max="8" width="8.7109375" customWidth="1"/>
    <col min="9" max="9" width="3" customWidth="1"/>
    <col min="10" max="13" width="9.140625" customWidth="1"/>
  </cols>
  <sheetData>
    <row r="1" spans="1:9" ht="23.25" customHeight="1" x14ac:dyDescent="0.25">
      <c r="A1" s="287" t="s">
        <v>567</v>
      </c>
      <c r="B1" s="287" t="str">
        <f>Plod.24!G4</f>
        <v>2024/2025</v>
      </c>
      <c r="C1" s="773" t="s">
        <v>588</v>
      </c>
      <c r="D1" s="773"/>
      <c r="E1" s="773"/>
      <c r="F1" s="773"/>
      <c r="G1" s="773"/>
      <c r="H1" s="773"/>
      <c r="I1" s="13"/>
    </row>
    <row r="2" spans="1:9" ht="23.25" customHeight="1" x14ac:dyDescent="0.25">
      <c r="A2" s="774" t="s">
        <v>665</v>
      </c>
      <c r="B2" s="776" t="s">
        <v>248</v>
      </c>
      <c r="C2" s="775" t="s">
        <v>30</v>
      </c>
      <c r="D2" s="775"/>
      <c r="E2" s="775"/>
      <c r="F2" s="772" t="s">
        <v>594</v>
      </c>
      <c r="G2" s="772"/>
      <c r="H2" s="772"/>
      <c r="I2" s="13"/>
    </row>
    <row r="3" spans="1:9" ht="23.25" customHeight="1" x14ac:dyDescent="0.25">
      <c r="A3" s="774"/>
      <c r="B3" s="777"/>
      <c r="C3" s="14" t="s">
        <v>1</v>
      </c>
      <c r="D3" s="14" t="s">
        <v>31</v>
      </c>
      <c r="E3" s="14" t="s">
        <v>32</v>
      </c>
      <c r="F3" s="15" t="s">
        <v>1</v>
      </c>
      <c r="G3" s="15" t="s">
        <v>31</v>
      </c>
      <c r="H3" s="15" t="s">
        <v>32</v>
      </c>
      <c r="I3" s="13"/>
    </row>
    <row r="4" spans="1:9" ht="23.25" customHeight="1" x14ac:dyDescent="0.25">
      <c r="A4" s="774"/>
      <c r="B4" s="305" t="s">
        <v>157</v>
      </c>
      <c r="C4" s="14" t="s">
        <v>9</v>
      </c>
      <c r="D4" s="14" t="s">
        <v>9</v>
      </c>
      <c r="E4" s="14" t="s">
        <v>9</v>
      </c>
      <c r="F4" s="34" t="s">
        <v>29</v>
      </c>
      <c r="G4" s="34" t="s">
        <v>29</v>
      </c>
      <c r="H4" s="34" t="s">
        <v>29</v>
      </c>
      <c r="I4" s="13"/>
    </row>
    <row r="5" spans="1:9" ht="16.5" customHeight="1" x14ac:dyDescent="0.25">
      <c r="A5" s="16" t="s">
        <v>24</v>
      </c>
      <c r="B5" s="17"/>
      <c r="C5" s="100"/>
      <c r="D5" s="100"/>
      <c r="E5" s="100"/>
      <c r="F5" s="100"/>
      <c r="G5" s="100"/>
      <c r="H5" s="100"/>
      <c r="I5" s="13"/>
    </row>
    <row r="6" spans="1:9" ht="16.5" customHeight="1" x14ac:dyDescent="0.25">
      <c r="A6" s="103" t="s">
        <v>21</v>
      </c>
      <c r="B6" s="569"/>
      <c r="C6" s="18">
        <v>15</v>
      </c>
      <c r="D6" s="18"/>
      <c r="E6" s="18"/>
      <c r="F6" s="177">
        <f>$B6*C6/100</f>
        <v>0</v>
      </c>
      <c r="G6" s="177">
        <f>$B6*D6/100</f>
        <v>0</v>
      </c>
      <c r="H6" s="177">
        <f>$B6*E6/100</f>
        <v>0</v>
      </c>
      <c r="I6" s="13"/>
    </row>
    <row r="7" spans="1:9" ht="16.5" customHeight="1" x14ac:dyDescent="0.25">
      <c r="A7" s="103" t="s">
        <v>51</v>
      </c>
      <c r="B7" s="23"/>
      <c r="C7" s="18">
        <v>33.5</v>
      </c>
      <c r="D7" s="18"/>
      <c r="E7" s="18"/>
      <c r="F7" s="177">
        <f t="shared" ref="F7:F21" si="0">$B7*C7/100</f>
        <v>0</v>
      </c>
      <c r="G7" s="177">
        <f t="shared" ref="G7:G21" si="1">$B7*D7/100</f>
        <v>0</v>
      </c>
      <c r="H7" s="177">
        <f t="shared" ref="H7:H21" si="2">$B7*E7/100</f>
        <v>0</v>
      </c>
      <c r="I7" s="13"/>
    </row>
    <row r="8" spans="1:9" ht="16.5" customHeight="1" x14ac:dyDescent="0.25">
      <c r="A8" s="103" t="s">
        <v>57</v>
      </c>
      <c r="B8" s="23"/>
      <c r="C8" s="18">
        <v>27</v>
      </c>
      <c r="D8" s="18"/>
      <c r="E8" s="18"/>
      <c r="F8" s="177">
        <f t="shared" si="0"/>
        <v>0</v>
      </c>
      <c r="G8" s="177">
        <f t="shared" si="1"/>
        <v>0</v>
      </c>
      <c r="H8" s="177">
        <f t="shared" si="2"/>
        <v>0</v>
      </c>
      <c r="I8" s="13"/>
    </row>
    <row r="9" spans="1:9" ht="16.5" customHeight="1" x14ac:dyDescent="0.25">
      <c r="A9" s="103" t="s">
        <v>34</v>
      </c>
      <c r="B9" s="23"/>
      <c r="C9" s="18">
        <v>19</v>
      </c>
      <c r="D9" s="18"/>
      <c r="E9" s="18"/>
      <c r="F9" s="177">
        <f t="shared" si="0"/>
        <v>0</v>
      </c>
      <c r="G9" s="177">
        <f t="shared" si="1"/>
        <v>0</v>
      </c>
      <c r="H9" s="177">
        <f t="shared" si="2"/>
        <v>0</v>
      </c>
      <c r="I9" s="13"/>
    </row>
    <row r="10" spans="1:9" ht="16.5" customHeight="1" x14ac:dyDescent="0.25">
      <c r="A10" s="103" t="s">
        <v>22</v>
      </c>
      <c r="B10" s="23"/>
      <c r="C10" s="18">
        <v>20.5</v>
      </c>
      <c r="D10" s="18"/>
      <c r="E10" s="18"/>
      <c r="F10" s="177">
        <f t="shared" si="0"/>
        <v>0</v>
      </c>
      <c r="G10" s="177">
        <f t="shared" si="1"/>
        <v>0</v>
      </c>
      <c r="H10" s="177">
        <f t="shared" si="2"/>
        <v>0</v>
      </c>
      <c r="I10" s="13"/>
    </row>
    <row r="11" spans="1:9" ht="16.5" customHeight="1" x14ac:dyDescent="0.25">
      <c r="A11" s="103" t="s">
        <v>10</v>
      </c>
      <c r="B11" s="23"/>
      <c r="C11" s="18">
        <v>20</v>
      </c>
      <c r="D11" s="18"/>
      <c r="E11" s="18"/>
      <c r="F11" s="177">
        <f t="shared" si="0"/>
        <v>0</v>
      </c>
      <c r="G11" s="177">
        <f t="shared" si="1"/>
        <v>0</v>
      </c>
      <c r="H11" s="177">
        <f t="shared" si="2"/>
        <v>0</v>
      </c>
      <c r="I11" s="13"/>
    </row>
    <row r="12" spans="1:9" ht="16.5" customHeight="1" x14ac:dyDescent="0.25">
      <c r="A12" s="103" t="s">
        <v>49</v>
      </c>
      <c r="B12" s="23"/>
      <c r="C12" s="18">
        <v>26</v>
      </c>
      <c r="D12" s="18"/>
      <c r="E12" s="18"/>
      <c r="F12" s="177">
        <f t="shared" si="0"/>
        <v>0</v>
      </c>
      <c r="G12" s="177">
        <f t="shared" si="1"/>
        <v>0</v>
      </c>
      <c r="H12" s="177">
        <f t="shared" si="2"/>
        <v>0</v>
      </c>
      <c r="I12" s="13"/>
    </row>
    <row r="13" spans="1:9" ht="16.5" customHeight="1" x14ac:dyDescent="0.25">
      <c r="A13" s="103" t="s">
        <v>50</v>
      </c>
      <c r="B13" s="23"/>
      <c r="C13" s="18">
        <v>25</v>
      </c>
      <c r="D13" s="18"/>
      <c r="E13" s="18"/>
      <c r="F13" s="177">
        <f t="shared" si="0"/>
        <v>0</v>
      </c>
      <c r="G13" s="177">
        <f t="shared" si="1"/>
        <v>0</v>
      </c>
      <c r="H13" s="177">
        <f t="shared" si="2"/>
        <v>0</v>
      </c>
      <c r="I13" s="13"/>
    </row>
    <row r="14" spans="1:9" ht="16.5" customHeight="1" x14ac:dyDescent="0.25">
      <c r="A14" s="103" t="s">
        <v>23</v>
      </c>
      <c r="B14" s="23"/>
      <c r="C14" s="18">
        <v>24</v>
      </c>
      <c r="D14" s="18"/>
      <c r="E14" s="18"/>
      <c r="F14" s="177">
        <f t="shared" si="0"/>
        <v>0</v>
      </c>
      <c r="G14" s="177">
        <f t="shared" si="1"/>
        <v>0</v>
      </c>
      <c r="H14" s="177">
        <f t="shared" si="2"/>
        <v>0</v>
      </c>
      <c r="I14" s="13"/>
    </row>
    <row r="15" spans="1:9" ht="16.5" customHeight="1" x14ac:dyDescent="0.25">
      <c r="A15" s="103" t="s">
        <v>35</v>
      </c>
      <c r="B15" s="23"/>
      <c r="C15" s="18">
        <v>46</v>
      </c>
      <c r="D15" s="18"/>
      <c r="E15" s="18"/>
      <c r="F15" s="177">
        <f t="shared" si="0"/>
        <v>0</v>
      </c>
      <c r="G15" s="177">
        <f t="shared" si="1"/>
        <v>0</v>
      </c>
      <c r="H15" s="177">
        <f t="shared" si="2"/>
        <v>0</v>
      </c>
      <c r="I15" s="13"/>
    </row>
    <row r="16" spans="1:9" ht="16.5" customHeight="1" x14ac:dyDescent="0.25">
      <c r="A16" s="103" t="s">
        <v>52</v>
      </c>
      <c r="B16" s="23"/>
      <c r="C16" s="18">
        <v>46</v>
      </c>
      <c r="D16" s="18"/>
      <c r="E16" s="18"/>
      <c r="F16" s="177">
        <f t="shared" si="0"/>
        <v>0</v>
      </c>
      <c r="G16" s="177">
        <f t="shared" si="1"/>
        <v>0</v>
      </c>
      <c r="H16" s="177">
        <f t="shared" si="2"/>
        <v>0</v>
      </c>
      <c r="I16" s="13"/>
    </row>
    <row r="17" spans="1:9" ht="16.5" customHeight="1" x14ac:dyDescent="0.25">
      <c r="A17" s="103" t="s">
        <v>53</v>
      </c>
      <c r="B17" s="23"/>
      <c r="C17" s="18">
        <v>38</v>
      </c>
      <c r="D17" s="18"/>
      <c r="E17" s="18"/>
      <c r="F17" s="177">
        <f t="shared" si="0"/>
        <v>0</v>
      </c>
      <c r="G17" s="177">
        <f t="shared" si="1"/>
        <v>0</v>
      </c>
      <c r="H17" s="177">
        <f t="shared" si="2"/>
        <v>0</v>
      </c>
      <c r="I17" s="13"/>
    </row>
    <row r="18" spans="1:9" ht="16.5" customHeight="1" x14ac:dyDescent="0.25">
      <c r="A18" s="103" t="s">
        <v>36</v>
      </c>
      <c r="B18" s="23"/>
      <c r="C18" s="18">
        <v>33</v>
      </c>
      <c r="D18" s="18"/>
      <c r="E18" s="18"/>
      <c r="F18" s="177">
        <f t="shared" si="0"/>
        <v>0</v>
      </c>
      <c r="G18" s="177">
        <f t="shared" si="1"/>
        <v>0</v>
      </c>
      <c r="H18" s="177">
        <f t="shared" si="2"/>
        <v>0</v>
      </c>
      <c r="I18" s="13"/>
    </row>
    <row r="19" spans="1:9" ht="16.5" customHeight="1" x14ac:dyDescent="0.25">
      <c r="A19" s="103" t="s">
        <v>54</v>
      </c>
      <c r="B19" s="23"/>
      <c r="C19" s="18">
        <v>46</v>
      </c>
      <c r="D19" s="18"/>
      <c r="E19" s="18"/>
      <c r="F19" s="177">
        <f t="shared" si="0"/>
        <v>0</v>
      </c>
      <c r="G19" s="177">
        <f t="shared" si="1"/>
        <v>0</v>
      </c>
      <c r="H19" s="177">
        <f t="shared" si="2"/>
        <v>0</v>
      </c>
      <c r="I19" s="13"/>
    </row>
    <row r="20" spans="1:9" ht="16.5" customHeight="1" x14ac:dyDescent="0.25">
      <c r="A20" s="103" t="s">
        <v>37</v>
      </c>
      <c r="B20" s="23"/>
      <c r="C20" s="18">
        <v>28</v>
      </c>
      <c r="D20" s="18"/>
      <c r="E20" s="18"/>
      <c r="F20" s="177">
        <f t="shared" si="0"/>
        <v>0</v>
      </c>
      <c r="G20" s="177">
        <f t="shared" si="1"/>
        <v>0</v>
      </c>
      <c r="H20" s="177">
        <f t="shared" si="2"/>
        <v>0</v>
      </c>
      <c r="I20" s="13"/>
    </row>
    <row r="21" spans="1:9" ht="16.5" customHeight="1" x14ac:dyDescent="0.25">
      <c r="A21" s="103" t="s">
        <v>38</v>
      </c>
      <c r="B21" s="23"/>
      <c r="C21" s="18">
        <v>30</v>
      </c>
      <c r="D21" s="18"/>
      <c r="E21" s="18"/>
      <c r="F21" s="177">
        <f t="shared" si="0"/>
        <v>0</v>
      </c>
      <c r="G21" s="177">
        <f t="shared" si="1"/>
        <v>0</v>
      </c>
      <c r="H21" s="177">
        <f t="shared" si="2"/>
        <v>0</v>
      </c>
      <c r="I21" s="13"/>
    </row>
    <row r="22" spans="1:9" ht="16.5" customHeight="1" x14ac:dyDescent="0.25">
      <c r="A22" s="104" t="s">
        <v>259</v>
      </c>
      <c r="B22" s="105"/>
      <c r="C22" s="106"/>
      <c r="D22" s="106"/>
      <c r="E22" s="106"/>
      <c r="F22" s="106"/>
      <c r="G22" s="106"/>
      <c r="H22" s="106"/>
      <c r="I22" s="13"/>
    </row>
    <row r="23" spans="1:9" ht="16.5" customHeight="1" x14ac:dyDescent="0.25">
      <c r="A23" s="107"/>
      <c r="B23" s="23"/>
      <c r="C23" s="10"/>
      <c r="D23" s="10"/>
      <c r="E23" s="10"/>
      <c r="F23" s="177">
        <f>$B23*C23/100</f>
        <v>0</v>
      </c>
      <c r="G23" s="177">
        <f>$B23*D23/100</f>
        <v>0</v>
      </c>
      <c r="H23" s="177">
        <f>$B23*E23/100</f>
        <v>0</v>
      </c>
      <c r="I23" s="13"/>
    </row>
    <row r="24" spans="1:9" ht="16.5" customHeight="1" x14ac:dyDescent="0.25">
      <c r="A24" s="107"/>
      <c r="B24" s="23"/>
      <c r="C24" s="10"/>
      <c r="D24" s="10"/>
      <c r="E24" s="10"/>
      <c r="F24" s="177">
        <f t="shared" ref="F24:F30" si="3">$B24*C24/100</f>
        <v>0</v>
      </c>
      <c r="G24" s="177">
        <f t="shared" ref="G24:G30" si="4">$B24*D24/100</f>
        <v>0</v>
      </c>
      <c r="H24" s="177">
        <f t="shared" ref="H24:H30" si="5">$B24*E24/100</f>
        <v>0</v>
      </c>
      <c r="I24" s="13"/>
    </row>
    <row r="25" spans="1:9" ht="16.5" customHeight="1" x14ac:dyDescent="0.25">
      <c r="A25" s="107"/>
      <c r="B25" s="23"/>
      <c r="C25" s="10"/>
      <c r="D25" s="10"/>
      <c r="E25" s="10"/>
      <c r="F25" s="177">
        <f t="shared" si="3"/>
        <v>0</v>
      </c>
      <c r="G25" s="177">
        <f t="shared" si="4"/>
        <v>0</v>
      </c>
      <c r="H25" s="177">
        <f t="shared" si="5"/>
        <v>0</v>
      </c>
      <c r="I25" s="13"/>
    </row>
    <row r="26" spans="1:9" ht="16.5" customHeight="1" x14ac:dyDescent="0.25">
      <c r="A26" s="107"/>
      <c r="B26" s="23"/>
      <c r="C26" s="10"/>
      <c r="D26" s="10"/>
      <c r="E26" s="10"/>
      <c r="F26" s="177">
        <f t="shared" si="3"/>
        <v>0</v>
      </c>
      <c r="G26" s="177">
        <f t="shared" si="4"/>
        <v>0</v>
      </c>
      <c r="H26" s="177">
        <f t="shared" si="5"/>
        <v>0</v>
      </c>
      <c r="I26" s="13"/>
    </row>
    <row r="27" spans="1:9" ht="16.5" customHeight="1" x14ac:dyDescent="0.25">
      <c r="A27" s="107"/>
      <c r="B27" s="23"/>
      <c r="C27" s="10"/>
      <c r="D27" s="10"/>
      <c r="E27" s="10"/>
      <c r="F27" s="177">
        <f t="shared" si="3"/>
        <v>0</v>
      </c>
      <c r="G27" s="177">
        <f t="shared" si="4"/>
        <v>0</v>
      </c>
      <c r="H27" s="177">
        <f t="shared" si="5"/>
        <v>0</v>
      </c>
      <c r="I27" s="13"/>
    </row>
    <row r="28" spans="1:9" ht="16.5" customHeight="1" x14ac:dyDescent="0.25">
      <c r="A28" s="107"/>
      <c r="B28" s="23"/>
      <c r="C28" s="10"/>
      <c r="D28" s="10"/>
      <c r="E28" s="10"/>
      <c r="F28" s="177">
        <f t="shared" si="3"/>
        <v>0</v>
      </c>
      <c r="G28" s="177">
        <f t="shared" si="4"/>
        <v>0</v>
      </c>
      <c r="H28" s="177">
        <f t="shared" si="5"/>
        <v>0</v>
      </c>
      <c r="I28" s="13"/>
    </row>
    <row r="29" spans="1:9" ht="16.5" customHeight="1" x14ac:dyDescent="0.25">
      <c r="A29" s="107"/>
      <c r="B29" s="23"/>
      <c r="C29" s="10"/>
      <c r="D29" s="10"/>
      <c r="E29" s="10"/>
      <c r="F29" s="177">
        <f t="shared" si="3"/>
        <v>0</v>
      </c>
      <c r="G29" s="177">
        <f t="shared" si="4"/>
        <v>0</v>
      </c>
      <c r="H29" s="177">
        <f t="shared" si="5"/>
        <v>0</v>
      </c>
      <c r="I29" s="13"/>
    </row>
    <row r="30" spans="1:9" ht="16.5" customHeight="1" x14ac:dyDescent="0.25">
      <c r="A30" s="107"/>
      <c r="B30" s="23"/>
      <c r="C30" s="10"/>
      <c r="D30" s="10"/>
      <c r="E30" s="10"/>
      <c r="F30" s="177">
        <f t="shared" si="3"/>
        <v>0</v>
      </c>
      <c r="G30" s="177">
        <f t="shared" si="4"/>
        <v>0</v>
      </c>
      <c r="H30" s="177">
        <f t="shared" si="5"/>
        <v>0</v>
      </c>
      <c r="I30" s="13"/>
    </row>
    <row r="31" spans="1:9" ht="16.5" customHeight="1" x14ac:dyDescent="0.25">
      <c r="A31" s="20" t="s">
        <v>25</v>
      </c>
      <c r="B31" s="24"/>
      <c r="C31" s="101"/>
      <c r="D31" s="101"/>
      <c r="E31" s="101"/>
      <c r="F31" s="101"/>
      <c r="G31" s="101"/>
      <c r="H31" s="101"/>
      <c r="I31" s="13"/>
    </row>
    <row r="32" spans="1:9" ht="16.5" customHeight="1" x14ac:dyDescent="0.25">
      <c r="A32" s="103" t="s">
        <v>48</v>
      </c>
      <c r="B32" s="23"/>
      <c r="C32" s="18">
        <v>12</v>
      </c>
      <c r="D32" s="18">
        <v>52</v>
      </c>
      <c r="E32" s="18"/>
      <c r="F32" s="177">
        <f t="shared" ref="F32:H35" si="6">$B32*C32/100</f>
        <v>0</v>
      </c>
      <c r="G32" s="177">
        <f t="shared" si="6"/>
        <v>0</v>
      </c>
      <c r="H32" s="177">
        <f t="shared" si="6"/>
        <v>0</v>
      </c>
      <c r="I32" s="13"/>
    </row>
    <row r="33" spans="1:9" ht="16.5" customHeight="1" x14ac:dyDescent="0.25">
      <c r="A33" s="103" t="s">
        <v>11</v>
      </c>
      <c r="B33" s="23"/>
      <c r="C33" s="18">
        <v>18</v>
      </c>
      <c r="D33" s="18">
        <v>46</v>
      </c>
      <c r="E33" s="18"/>
      <c r="F33" s="177">
        <f t="shared" si="6"/>
        <v>0</v>
      </c>
      <c r="G33" s="177">
        <f t="shared" si="6"/>
        <v>0</v>
      </c>
      <c r="H33" s="177">
        <f t="shared" si="6"/>
        <v>0</v>
      </c>
      <c r="I33" s="13"/>
    </row>
    <row r="34" spans="1:9" ht="16.5" customHeight="1" x14ac:dyDescent="0.25">
      <c r="A34" s="103" t="s">
        <v>55</v>
      </c>
      <c r="B34" s="23"/>
      <c r="C34" s="18"/>
      <c r="D34" s="18">
        <v>45</v>
      </c>
      <c r="E34" s="18"/>
      <c r="F34" s="177">
        <f t="shared" si="6"/>
        <v>0</v>
      </c>
      <c r="G34" s="177">
        <f t="shared" si="6"/>
        <v>0</v>
      </c>
      <c r="H34" s="177">
        <f t="shared" si="6"/>
        <v>0</v>
      </c>
      <c r="I34" s="13"/>
    </row>
    <row r="35" spans="1:9" ht="16.5" customHeight="1" x14ac:dyDescent="0.25">
      <c r="A35" s="103" t="s">
        <v>12</v>
      </c>
      <c r="B35" s="23"/>
      <c r="C35" s="18"/>
      <c r="D35" s="18">
        <v>40</v>
      </c>
      <c r="E35" s="18"/>
      <c r="F35" s="177">
        <f t="shared" si="6"/>
        <v>0</v>
      </c>
      <c r="G35" s="177">
        <f t="shared" si="6"/>
        <v>0</v>
      </c>
      <c r="H35" s="177">
        <f t="shared" si="6"/>
        <v>0</v>
      </c>
      <c r="I35" s="13"/>
    </row>
    <row r="36" spans="1:9" ht="16.5" customHeight="1" x14ac:dyDescent="0.25">
      <c r="A36" s="104" t="s">
        <v>260</v>
      </c>
      <c r="B36" s="105"/>
      <c r="C36" s="106"/>
      <c r="D36" s="106"/>
      <c r="E36" s="106"/>
      <c r="F36" s="106"/>
      <c r="G36" s="106"/>
      <c r="H36" s="106"/>
      <c r="I36" s="13"/>
    </row>
    <row r="37" spans="1:9" ht="16.5" customHeight="1" x14ac:dyDescent="0.25">
      <c r="A37" s="107"/>
      <c r="B37" s="23"/>
      <c r="C37" s="10"/>
      <c r="D37" s="10"/>
      <c r="E37" s="10"/>
      <c r="F37" s="177">
        <f t="shared" ref="F37:H39" si="7">$B37*C37/100</f>
        <v>0</v>
      </c>
      <c r="G37" s="177">
        <f t="shared" si="7"/>
        <v>0</v>
      </c>
      <c r="H37" s="177">
        <f t="shared" si="7"/>
        <v>0</v>
      </c>
      <c r="I37" s="13"/>
    </row>
    <row r="38" spans="1:9" ht="16.5" customHeight="1" x14ac:dyDescent="0.25">
      <c r="A38" s="107"/>
      <c r="B38" s="23"/>
      <c r="C38" s="10"/>
      <c r="D38" s="10"/>
      <c r="E38" s="10"/>
      <c r="F38" s="177">
        <f t="shared" si="7"/>
        <v>0</v>
      </c>
      <c r="G38" s="177">
        <f t="shared" si="7"/>
        <v>0</v>
      </c>
      <c r="H38" s="177">
        <f t="shared" si="7"/>
        <v>0</v>
      </c>
      <c r="I38" s="13"/>
    </row>
    <row r="39" spans="1:9" ht="16.5" customHeight="1" x14ac:dyDescent="0.25">
      <c r="A39" s="107"/>
      <c r="B39" s="23"/>
      <c r="C39" s="10"/>
      <c r="D39" s="10"/>
      <c r="E39" s="10"/>
      <c r="F39" s="177">
        <f t="shared" si="7"/>
        <v>0</v>
      </c>
      <c r="G39" s="177">
        <f t="shared" si="7"/>
        <v>0</v>
      </c>
      <c r="H39" s="177">
        <f t="shared" si="7"/>
        <v>0</v>
      </c>
      <c r="I39" s="13"/>
    </row>
    <row r="40" spans="1:9" ht="16.5" customHeight="1" x14ac:dyDescent="0.25">
      <c r="A40" s="20" t="s">
        <v>26</v>
      </c>
      <c r="B40" s="24"/>
      <c r="C40" s="101"/>
      <c r="D40" s="101"/>
      <c r="E40" s="101"/>
      <c r="F40" s="101"/>
      <c r="G40" s="101"/>
      <c r="H40" s="101"/>
      <c r="I40" s="13"/>
    </row>
    <row r="41" spans="1:9" ht="16.5" customHeight="1" x14ac:dyDescent="0.25">
      <c r="A41" s="103" t="s">
        <v>27</v>
      </c>
      <c r="B41" s="23"/>
      <c r="C41" s="18"/>
      <c r="D41" s="18"/>
      <c r="E41" s="18">
        <v>60</v>
      </c>
      <c r="F41" s="177">
        <f t="shared" ref="F41:H45" si="8">$B41*C41/100</f>
        <v>0</v>
      </c>
      <c r="G41" s="177">
        <f t="shared" si="8"/>
        <v>0</v>
      </c>
      <c r="H41" s="177">
        <f t="shared" si="8"/>
        <v>0</v>
      </c>
      <c r="I41" s="13"/>
    </row>
    <row r="42" spans="1:9" ht="16.5" customHeight="1" x14ac:dyDescent="0.25">
      <c r="A42" s="103" t="s">
        <v>56</v>
      </c>
      <c r="B42" s="23"/>
      <c r="C42" s="18"/>
      <c r="D42" s="18"/>
      <c r="E42" s="18">
        <v>40</v>
      </c>
      <c r="F42" s="177">
        <f t="shared" si="8"/>
        <v>0</v>
      </c>
      <c r="G42" s="177">
        <f t="shared" si="8"/>
        <v>0</v>
      </c>
      <c r="H42" s="177">
        <f t="shared" si="8"/>
        <v>0</v>
      </c>
      <c r="I42" s="13"/>
    </row>
    <row r="43" spans="1:9" ht="16.5" customHeight="1" x14ac:dyDescent="0.25">
      <c r="A43" s="103" t="s">
        <v>13</v>
      </c>
      <c r="B43" s="23"/>
      <c r="C43" s="18"/>
      <c r="D43" s="18"/>
      <c r="E43" s="18">
        <v>30</v>
      </c>
      <c r="F43" s="177">
        <f t="shared" si="8"/>
        <v>0</v>
      </c>
      <c r="G43" s="177">
        <f t="shared" si="8"/>
        <v>0</v>
      </c>
      <c r="H43" s="177">
        <f t="shared" si="8"/>
        <v>0</v>
      </c>
      <c r="I43" s="13"/>
    </row>
    <row r="44" spans="1:9" ht="16.5" customHeight="1" x14ac:dyDescent="0.25">
      <c r="A44" s="103" t="s">
        <v>14</v>
      </c>
      <c r="B44" s="23"/>
      <c r="C44" s="18"/>
      <c r="D44" s="18"/>
      <c r="E44" s="18">
        <v>11</v>
      </c>
      <c r="F44" s="177">
        <f t="shared" si="8"/>
        <v>0</v>
      </c>
      <c r="G44" s="177">
        <f t="shared" si="8"/>
        <v>0</v>
      </c>
      <c r="H44" s="177">
        <f t="shared" si="8"/>
        <v>0</v>
      </c>
      <c r="I44" s="13"/>
    </row>
    <row r="45" spans="1:9" ht="16.5" customHeight="1" x14ac:dyDescent="0.25">
      <c r="A45" s="103" t="s">
        <v>33</v>
      </c>
      <c r="B45" s="23"/>
      <c r="C45" s="18"/>
      <c r="D45" s="18"/>
      <c r="E45" s="18">
        <v>50</v>
      </c>
      <c r="F45" s="177">
        <f t="shared" si="8"/>
        <v>0</v>
      </c>
      <c r="G45" s="177">
        <f t="shared" si="8"/>
        <v>0</v>
      </c>
      <c r="H45" s="177">
        <f t="shared" si="8"/>
        <v>0</v>
      </c>
      <c r="I45" s="13"/>
    </row>
    <row r="46" spans="1:9" ht="16.5" customHeight="1" x14ac:dyDescent="0.25">
      <c r="A46" s="104" t="s">
        <v>261</v>
      </c>
      <c r="B46" s="105"/>
      <c r="C46" s="106"/>
      <c r="D46" s="106"/>
      <c r="E46" s="106"/>
      <c r="F46" s="106"/>
      <c r="G46" s="106"/>
      <c r="H46" s="106"/>
      <c r="I46" s="13"/>
    </row>
    <row r="47" spans="1:9" ht="16.5" customHeight="1" x14ac:dyDescent="0.25">
      <c r="A47" s="107"/>
      <c r="B47" s="23"/>
      <c r="C47" s="10"/>
      <c r="D47" s="10"/>
      <c r="E47" s="10"/>
      <c r="F47" s="177">
        <f t="shared" ref="F47:H49" si="9">$B47*C47/100</f>
        <v>0</v>
      </c>
      <c r="G47" s="177">
        <f t="shared" si="9"/>
        <v>0</v>
      </c>
      <c r="H47" s="177">
        <f t="shared" si="9"/>
        <v>0</v>
      </c>
      <c r="I47" s="13"/>
    </row>
    <row r="48" spans="1:9" ht="16.5" customHeight="1" x14ac:dyDescent="0.25">
      <c r="A48" s="107"/>
      <c r="B48" s="23"/>
      <c r="C48" s="10"/>
      <c r="D48" s="10"/>
      <c r="E48" s="10"/>
      <c r="F48" s="177">
        <f t="shared" si="9"/>
        <v>0</v>
      </c>
      <c r="G48" s="177">
        <f t="shared" si="9"/>
        <v>0</v>
      </c>
      <c r="H48" s="177">
        <f t="shared" si="9"/>
        <v>0</v>
      </c>
      <c r="I48" s="13"/>
    </row>
    <row r="49" spans="1:9" ht="16.5" customHeight="1" x14ac:dyDescent="0.25">
      <c r="A49" s="107"/>
      <c r="B49" s="23"/>
      <c r="C49" s="10"/>
      <c r="D49" s="10"/>
      <c r="E49" s="10"/>
      <c r="F49" s="177">
        <f t="shared" si="9"/>
        <v>0</v>
      </c>
      <c r="G49" s="177">
        <f t="shared" si="9"/>
        <v>0</v>
      </c>
      <c r="H49" s="177">
        <f t="shared" si="9"/>
        <v>0</v>
      </c>
      <c r="I49" s="13"/>
    </row>
    <row r="50" spans="1:9" ht="16.5" customHeight="1" x14ac:dyDescent="0.25">
      <c r="A50" s="20" t="s">
        <v>28</v>
      </c>
      <c r="B50" s="24"/>
      <c r="C50" s="102"/>
      <c r="D50" s="102"/>
      <c r="E50" s="102"/>
      <c r="F50" s="101"/>
      <c r="G50" s="101"/>
      <c r="H50" s="101"/>
      <c r="I50" s="13"/>
    </row>
    <row r="51" spans="1:9" ht="16.5" customHeight="1" x14ac:dyDescent="0.25">
      <c r="A51" s="103" t="s">
        <v>39</v>
      </c>
      <c r="B51" s="23"/>
      <c r="C51" s="18">
        <v>15</v>
      </c>
      <c r="D51" s="18">
        <v>15</v>
      </c>
      <c r="E51" s="18">
        <v>15</v>
      </c>
      <c r="F51" s="177">
        <f>$B51*C51/100</f>
        <v>0</v>
      </c>
      <c r="G51" s="177">
        <f>$B51*D51/100</f>
        <v>0</v>
      </c>
      <c r="H51" s="177">
        <f>$B51*E51/100</f>
        <v>0</v>
      </c>
      <c r="I51" s="13"/>
    </row>
    <row r="52" spans="1:9" ht="16.5" customHeight="1" x14ac:dyDescent="0.25">
      <c r="A52" s="103" t="s">
        <v>40</v>
      </c>
      <c r="B52" s="23"/>
      <c r="C52" s="18">
        <v>16</v>
      </c>
      <c r="D52" s="18">
        <v>16</v>
      </c>
      <c r="E52" s="18">
        <v>16</v>
      </c>
      <c r="F52" s="177">
        <f t="shared" ref="F52:F65" si="10">$B52*C52/100</f>
        <v>0</v>
      </c>
      <c r="G52" s="177">
        <f t="shared" ref="G52:G65" si="11">$B52*D52/100</f>
        <v>0</v>
      </c>
      <c r="H52" s="177">
        <f t="shared" ref="H52:H65" si="12">$B52*E52/100</f>
        <v>0</v>
      </c>
      <c r="I52" s="13"/>
    </row>
    <row r="53" spans="1:9" ht="16.5" customHeight="1" x14ac:dyDescent="0.25">
      <c r="A53" s="103" t="s">
        <v>15</v>
      </c>
      <c r="B53" s="23"/>
      <c r="C53" s="18">
        <v>13</v>
      </c>
      <c r="D53" s="18">
        <v>9</v>
      </c>
      <c r="E53" s="18">
        <v>16</v>
      </c>
      <c r="F53" s="177">
        <f t="shared" si="10"/>
        <v>0</v>
      </c>
      <c r="G53" s="177">
        <f t="shared" si="11"/>
        <v>0</v>
      </c>
      <c r="H53" s="177">
        <f t="shared" si="12"/>
        <v>0</v>
      </c>
      <c r="I53" s="13"/>
    </row>
    <row r="54" spans="1:9" ht="16.5" customHeight="1" x14ac:dyDescent="0.25">
      <c r="A54" s="103" t="s">
        <v>41</v>
      </c>
      <c r="B54" s="23"/>
      <c r="C54" s="18">
        <v>14</v>
      </c>
      <c r="D54" s="18">
        <v>10</v>
      </c>
      <c r="E54" s="18">
        <v>16</v>
      </c>
      <c r="F54" s="177">
        <f t="shared" si="10"/>
        <v>0</v>
      </c>
      <c r="G54" s="177">
        <f t="shared" si="11"/>
        <v>0</v>
      </c>
      <c r="H54" s="177">
        <f t="shared" si="12"/>
        <v>0</v>
      </c>
      <c r="I54" s="13"/>
    </row>
    <row r="55" spans="1:9" ht="16.5" customHeight="1" x14ac:dyDescent="0.25">
      <c r="A55" s="103" t="s">
        <v>42</v>
      </c>
      <c r="B55" s="23"/>
      <c r="C55" s="18">
        <v>12</v>
      </c>
      <c r="D55" s="18">
        <v>7</v>
      </c>
      <c r="E55" s="18">
        <v>16</v>
      </c>
      <c r="F55" s="177">
        <f t="shared" si="10"/>
        <v>0</v>
      </c>
      <c r="G55" s="177">
        <f t="shared" si="11"/>
        <v>0</v>
      </c>
      <c r="H55" s="177">
        <f t="shared" si="12"/>
        <v>0</v>
      </c>
      <c r="I55" s="13"/>
    </row>
    <row r="56" spans="1:9" ht="16.5" customHeight="1" x14ac:dyDescent="0.25">
      <c r="A56" s="103" t="s">
        <v>16</v>
      </c>
      <c r="B56" s="23"/>
      <c r="C56" s="18">
        <v>7</v>
      </c>
      <c r="D56" s="18">
        <v>20</v>
      </c>
      <c r="E56" s="18">
        <v>28</v>
      </c>
      <c r="F56" s="177">
        <f t="shared" si="10"/>
        <v>0</v>
      </c>
      <c r="G56" s="177">
        <f t="shared" si="11"/>
        <v>0</v>
      </c>
      <c r="H56" s="177">
        <f t="shared" si="12"/>
        <v>0</v>
      </c>
      <c r="I56" s="13"/>
    </row>
    <row r="57" spans="1:9" ht="16.5" customHeight="1" x14ac:dyDescent="0.25">
      <c r="A57" s="103" t="s">
        <v>44</v>
      </c>
      <c r="B57" s="23"/>
      <c r="C57" s="18">
        <v>9</v>
      </c>
      <c r="D57" s="18">
        <v>12</v>
      </c>
      <c r="E57" s="18">
        <v>25</v>
      </c>
      <c r="F57" s="177">
        <f t="shared" si="10"/>
        <v>0</v>
      </c>
      <c r="G57" s="177">
        <f t="shared" si="11"/>
        <v>0</v>
      </c>
      <c r="H57" s="177">
        <f t="shared" si="12"/>
        <v>0</v>
      </c>
      <c r="I57" s="13"/>
    </row>
    <row r="58" spans="1:9" ht="16.5" customHeight="1" x14ac:dyDescent="0.25">
      <c r="A58" s="103" t="s">
        <v>43</v>
      </c>
      <c r="B58" s="23"/>
      <c r="C58" s="18">
        <v>8</v>
      </c>
      <c r="D58" s="18">
        <v>24</v>
      </c>
      <c r="E58" s="18">
        <v>24</v>
      </c>
      <c r="F58" s="177">
        <f t="shared" si="10"/>
        <v>0</v>
      </c>
      <c r="G58" s="177">
        <f t="shared" si="11"/>
        <v>0</v>
      </c>
      <c r="H58" s="177">
        <f t="shared" si="12"/>
        <v>0</v>
      </c>
      <c r="I58" s="13"/>
    </row>
    <row r="59" spans="1:9" ht="16.5" customHeight="1" x14ac:dyDescent="0.25">
      <c r="A59" s="103" t="s">
        <v>45</v>
      </c>
      <c r="B59" s="23"/>
      <c r="C59" s="18">
        <v>9</v>
      </c>
      <c r="D59" s="18">
        <v>25</v>
      </c>
      <c r="E59" s="18">
        <v>25</v>
      </c>
      <c r="F59" s="177">
        <f t="shared" si="10"/>
        <v>0</v>
      </c>
      <c r="G59" s="177">
        <f t="shared" si="11"/>
        <v>0</v>
      </c>
      <c r="H59" s="177">
        <f t="shared" si="12"/>
        <v>0</v>
      </c>
      <c r="I59" s="13"/>
    </row>
    <row r="60" spans="1:9" ht="16.5" customHeight="1" x14ac:dyDescent="0.25">
      <c r="A60" s="103" t="s">
        <v>46</v>
      </c>
      <c r="B60" s="23"/>
      <c r="C60" s="18"/>
      <c r="D60" s="18">
        <v>20</v>
      </c>
      <c r="E60" s="18">
        <v>30</v>
      </c>
      <c r="F60" s="177">
        <f t="shared" si="10"/>
        <v>0</v>
      </c>
      <c r="G60" s="177">
        <f t="shared" si="11"/>
        <v>0</v>
      </c>
      <c r="H60" s="177">
        <f t="shared" si="12"/>
        <v>0</v>
      </c>
      <c r="I60" s="13"/>
    </row>
    <row r="61" spans="1:9" ht="16.5" customHeight="1" x14ac:dyDescent="0.25">
      <c r="A61" s="103" t="s">
        <v>47</v>
      </c>
      <c r="B61" s="23"/>
      <c r="C61" s="18">
        <v>12</v>
      </c>
      <c r="D61" s="18">
        <v>24</v>
      </c>
      <c r="E61" s="18">
        <v>12</v>
      </c>
      <c r="F61" s="177">
        <f t="shared" si="10"/>
        <v>0</v>
      </c>
      <c r="G61" s="177">
        <f t="shared" si="11"/>
        <v>0</v>
      </c>
      <c r="H61" s="177">
        <f t="shared" si="12"/>
        <v>0</v>
      </c>
      <c r="I61" s="13"/>
    </row>
    <row r="62" spans="1:9" ht="16.5" customHeight="1" x14ac:dyDescent="0.25">
      <c r="A62" s="103" t="s">
        <v>17</v>
      </c>
      <c r="B62" s="23"/>
      <c r="C62" s="18">
        <v>26</v>
      </c>
      <c r="D62" s="18">
        <v>14</v>
      </c>
      <c r="E62" s="18"/>
      <c r="F62" s="177">
        <f t="shared" si="10"/>
        <v>0</v>
      </c>
      <c r="G62" s="177">
        <f t="shared" si="11"/>
        <v>0</v>
      </c>
      <c r="H62" s="177">
        <f t="shared" si="12"/>
        <v>0</v>
      </c>
      <c r="I62" s="13"/>
    </row>
    <row r="63" spans="1:9" ht="16.5" customHeight="1" x14ac:dyDescent="0.25">
      <c r="A63" s="103" t="s">
        <v>18</v>
      </c>
      <c r="B63" s="23"/>
      <c r="C63" s="18">
        <v>26</v>
      </c>
      <c r="D63" s="18">
        <v>10</v>
      </c>
      <c r="E63" s="18"/>
      <c r="F63" s="177">
        <f t="shared" si="10"/>
        <v>0</v>
      </c>
      <c r="G63" s="177">
        <f t="shared" si="11"/>
        <v>0</v>
      </c>
      <c r="H63" s="177">
        <f t="shared" si="12"/>
        <v>0</v>
      </c>
      <c r="I63" s="13"/>
    </row>
    <row r="64" spans="1:9" ht="16.5" customHeight="1" x14ac:dyDescent="0.25">
      <c r="A64" s="103" t="s">
        <v>19</v>
      </c>
      <c r="B64" s="23"/>
      <c r="C64" s="18">
        <v>3</v>
      </c>
      <c r="D64" s="18">
        <v>22</v>
      </c>
      <c r="E64" s="18"/>
      <c r="F64" s="177">
        <f t="shared" si="10"/>
        <v>0</v>
      </c>
      <c r="G64" s="177">
        <f t="shared" si="11"/>
        <v>0</v>
      </c>
      <c r="H64" s="177">
        <f t="shared" si="12"/>
        <v>0</v>
      </c>
      <c r="I64" s="13"/>
    </row>
    <row r="65" spans="1:9" ht="16.5" customHeight="1" x14ac:dyDescent="0.25">
      <c r="A65" s="103" t="s">
        <v>20</v>
      </c>
      <c r="B65" s="23"/>
      <c r="C65" s="18">
        <v>3</v>
      </c>
      <c r="D65" s="18">
        <v>22</v>
      </c>
      <c r="E65" s="18"/>
      <c r="F65" s="177">
        <f t="shared" si="10"/>
        <v>0</v>
      </c>
      <c r="G65" s="177">
        <f t="shared" si="11"/>
        <v>0</v>
      </c>
      <c r="H65" s="177">
        <f t="shared" si="12"/>
        <v>0</v>
      </c>
      <c r="I65" s="13"/>
    </row>
    <row r="66" spans="1:9" ht="16.5" customHeight="1" x14ac:dyDescent="0.25">
      <c r="A66" s="104" t="s">
        <v>262</v>
      </c>
      <c r="B66" s="105"/>
      <c r="C66" s="106"/>
      <c r="D66" s="106"/>
      <c r="E66" s="106"/>
      <c r="F66" s="106"/>
      <c r="G66" s="106"/>
      <c r="H66" s="106"/>
      <c r="I66" s="13"/>
    </row>
    <row r="67" spans="1:9" ht="16.5" customHeight="1" x14ac:dyDescent="0.25">
      <c r="A67" s="8"/>
      <c r="B67" s="23"/>
      <c r="C67" s="10"/>
      <c r="D67" s="10"/>
      <c r="E67" s="10"/>
      <c r="F67" s="177">
        <f t="shared" ref="F67:H73" si="13">$B67*C67/100</f>
        <v>0</v>
      </c>
      <c r="G67" s="177">
        <f t="shared" si="13"/>
        <v>0</v>
      </c>
      <c r="H67" s="177">
        <f t="shared" si="13"/>
        <v>0</v>
      </c>
      <c r="I67" s="13"/>
    </row>
    <row r="68" spans="1:9" ht="16.5" customHeight="1" x14ac:dyDescent="0.25">
      <c r="A68" s="8"/>
      <c r="B68" s="23"/>
      <c r="C68" s="10"/>
      <c r="D68" s="10"/>
      <c r="E68" s="10"/>
      <c r="F68" s="177">
        <f t="shared" ref="F68:H70" si="14">$B68*C68/100</f>
        <v>0</v>
      </c>
      <c r="G68" s="177">
        <f t="shared" si="14"/>
        <v>0</v>
      </c>
      <c r="H68" s="177">
        <f t="shared" si="14"/>
        <v>0</v>
      </c>
      <c r="I68" s="13"/>
    </row>
    <row r="69" spans="1:9" ht="16.5" customHeight="1" x14ac:dyDescent="0.25">
      <c r="A69" s="8"/>
      <c r="B69" s="23"/>
      <c r="C69" s="10"/>
      <c r="D69" s="10"/>
      <c r="E69" s="10"/>
      <c r="F69" s="177">
        <f t="shared" si="14"/>
        <v>0</v>
      </c>
      <c r="G69" s="177">
        <f t="shared" si="14"/>
        <v>0</v>
      </c>
      <c r="H69" s="177">
        <f t="shared" si="14"/>
        <v>0</v>
      </c>
      <c r="I69" s="13"/>
    </row>
    <row r="70" spans="1:9" ht="16.5" customHeight="1" x14ac:dyDescent="0.25">
      <c r="A70" s="8"/>
      <c r="B70" s="23"/>
      <c r="C70" s="10"/>
      <c r="D70" s="10"/>
      <c r="E70" s="10"/>
      <c r="F70" s="177">
        <f t="shared" si="14"/>
        <v>0</v>
      </c>
      <c r="G70" s="177">
        <f t="shared" si="14"/>
        <v>0</v>
      </c>
      <c r="H70" s="177">
        <f t="shared" si="14"/>
        <v>0</v>
      </c>
      <c r="I70" s="13"/>
    </row>
    <row r="71" spans="1:9" ht="16.5" customHeight="1" x14ac:dyDescent="0.25">
      <c r="A71" s="8"/>
      <c r="B71" s="23"/>
      <c r="C71" s="10"/>
      <c r="D71" s="10"/>
      <c r="E71" s="10"/>
      <c r="F71" s="19">
        <f t="shared" si="13"/>
        <v>0</v>
      </c>
      <c r="G71" s="19">
        <f t="shared" si="13"/>
        <v>0</v>
      </c>
      <c r="H71" s="19">
        <f t="shared" si="13"/>
        <v>0</v>
      </c>
      <c r="I71" s="13"/>
    </row>
    <row r="72" spans="1:9" ht="16.5" customHeight="1" x14ac:dyDescent="0.25">
      <c r="A72" s="8"/>
      <c r="B72" s="23"/>
      <c r="C72" s="10"/>
      <c r="D72" s="10"/>
      <c r="E72" s="10"/>
      <c r="F72" s="19">
        <f t="shared" si="13"/>
        <v>0</v>
      </c>
      <c r="G72" s="19">
        <f t="shared" si="13"/>
        <v>0</v>
      </c>
      <c r="H72" s="19">
        <f t="shared" si="13"/>
        <v>0</v>
      </c>
      <c r="I72" s="13"/>
    </row>
    <row r="73" spans="1:9" ht="16.5" customHeight="1" x14ac:dyDescent="0.25">
      <c r="A73" s="8"/>
      <c r="B73" s="23"/>
      <c r="C73" s="10"/>
      <c r="D73" s="10"/>
      <c r="E73" s="10"/>
      <c r="F73" s="19">
        <f t="shared" si="13"/>
        <v>0</v>
      </c>
      <c r="G73" s="19">
        <f t="shared" si="13"/>
        <v>0</v>
      </c>
      <c r="H73" s="19">
        <f t="shared" si="13"/>
        <v>0</v>
      </c>
      <c r="I73" s="13"/>
    </row>
    <row r="74" spans="1:9" ht="9" customHeight="1" x14ac:dyDescent="0.25">
      <c r="A74" s="28"/>
      <c r="B74" s="29"/>
      <c r="C74" s="30"/>
      <c r="D74" s="30"/>
      <c r="E74" s="30"/>
      <c r="F74" s="31"/>
      <c r="G74" s="31"/>
      <c r="H74" s="31"/>
      <c r="I74" s="13"/>
    </row>
    <row r="75" spans="1:9" ht="16.5" customHeight="1" x14ac:dyDescent="0.25">
      <c r="B75" s="29"/>
      <c r="C75" s="178"/>
      <c r="E75" s="183" t="s">
        <v>263</v>
      </c>
      <c r="F75" s="183">
        <f>SUM(F6:F73)</f>
        <v>0</v>
      </c>
      <c r="G75" s="183">
        <f>SUM(G6:G73)</f>
        <v>0</v>
      </c>
      <c r="H75" s="183">
        <f>SUM(H6:H73)</f>
        <v>0</v>
      </c>
      <c r="I75" s="13"/>
    </row>
    <row r="76" spans="1:9" ht="16.5" customHeight="1" x14ac:dyDescent="0.25">
      <c r="A76" s="25"/>
      <c r="B76" s="32"/>
      <c r="C76" s="179"/>
      <c r="D76" s="179"/>
      <c r="E76" s="179"/>
      <c r="F76" s="31"/>
      <c r="G76" s="31"/>
      <c r="H76" s="31"/>
      <c r="I76" s="13"/>
    </row>
    <row r="77" spans="1:9" ht="16.5" customHeight="1" x14ac:dyDescent="0.25">
      <c r="A77" s="713" t="str">
        <f>Plod.24!B83</f>
        <v>Verze 1 (15. 4. 2025); kontakty (CARC): www.carc.cz, Ing. Jan Klír, CSc. (603 520 684; jan.klir@carc.cz), Ing. Lada Kozlovská (733 375 632; lada.kozlovska@carc.cz)</v>
      </c>
      <c r="B77" s="713"/>
      <c r="C77" s="713"/>
      <c r="D77" s="713"/>
      <c r="E77" s="713"/>
      <c r="F77" s="713"/>
      <c r="G77" s="713"/>
      <c r="H77" s="713"/>
      <c r="I77" s="13"/>
    </row>
    <row r="78" spans="1:9" ht="16.5" customHeight="1" x14ac:dyDescent="0.25">
      <c r="A78" s="25"/>
      <c r="B78" s="32"/>
      <c r="C78" s="180"/>
      <c r="D78" s="180"/>
      <c r="E78" s="180"/>
      <c r="F78" s="31"/>
      <c r="G78" s="31"/>
      <c r="H78" s="31"/>
      <c r="I78" s="13"/>
    </row>
    <row r="79" spans="1:9" ht="24" customHeight="1" x14ac:dyDescent="0.25">
      <c r="A79" s="25"/>
      <c r="B79" s="32"/>
      <c r="C79" s="771"/>
      <c r="D79" s="771"/>
      <c r="E79" s="771"/>
      <c r="F79" s="31"/>
      <c r="G79" s="31"/>
      <c r="H79" s="31"/>
      <c r="I79" s="13"/>
    </row>
    <row r="80" spans="1:9" ht="16.5" customHeight="1" x14ac:dyDescent="0.25">
      <c r="A80" s="25"/>
      <c r="B80" s="32"/>
      <c r="C80" s="178"/>
      <c r="D80" s="178"/>
      <c r="E80" s="178"/>
      <c r="F80" s="31"/>
      <c r="G80" s="31"/>
      <c r="H80" s="31"/>
      <c r="I80" s="13"/>
    </row>
    <row r="81" spans="1:9" ht="16.5" customHeight="1" x14ac:dyDescent="0.25">
      <c r="A81" s="25"/>
      <c r="B81" s="32"/>
      <c r="C81" s="181"/>
      <c r="D81" s="181"/>
      <c r="E81" s="181"/>
      <c r="F81" s="31"/>
      <c r="G81" s="31"/>
      <c r="H81" s="31"/>
      <c r="I81" s="13"/>
    </row>
    <row r="82" spans="1:9" ht="16.5" customHeight="1" x14ac:dyDescent="0.25">
      <c r="A82" s="25"/>
      <c r="B82" s="32"/>
      <c r="C82" s="181"/>
      <c r="D82" s="181"/>
      <c r="E82" s="181"/>
      <c r="F82" s="31"/>
      <c r="G82" s="31"/>
      <c r="H82" s="31"/>
      <c r="I82" s="13"/>
    </row>
    <row r="83" spans="1:9" ht="16.5" customHeight="1" x14ac:dyDescent="0.25">
      <c r="A83" s="25"/>
      <c r="B83" s="32"/>
      <c r="C83" s="182"/>
      <c r="D83" s="182"/>
      <c r="E83" s="182"/>
      <c r="F83" s="31"/>
      <c r="G83" s="31"/>
      <c r="H83" s="31"/>
      <c r="I83" s="13"/>
    </row>
    <row r="84" spans="1:9" ht="16.5" customHeight="1" x14ac:dyDescent="0.25">
      <c r="A84" s="25"/>
      <c r="B84" s="32"/>
      <c r="C84" s="30"/>
      <c r="D84" s="30"/>
      <c r="E84" s="30"/>
      <c r="F84" s="31"/>
      <c r="G84" s="31"/>
      <c r="H84" s="31"/>
      <c r="I84" s="13"/>
    </row>
    <row r="85" spans="1:9" ht="16.5" customHeight="1" x14ac:dyDescent="0.25">
      <c r="A85" s="25"/>
      <c r="B85" s="32"/>
      <c r="C85" s="30"/>
      <c r="D85" s="30"/>
      <c r="E85" s="30"/>
      <c r="F85" s="31"/>
      <c r="G85" s="31"/>
      <c r="H85" s="31"/>
      <c r="I85" s="13"/>
    </row>
    <row r="86" spans="1:9" ht="16.5" customHeight="1" x14ac:dyDescent="0.25">
      <c r="A86" s="25"/>
      <c r="B86" s="32"/>
      <c r="C86" s="30"/>
      <c r="D86" s="30"/>
      <c r="E86" s="30"/>
      <c r="F86" s="31"/>
      <c r="G86" s="31"/>
      <c r="H86" s="31"/>
      <c r="I86" s="13"/>
    </row>
    <row r="87" spans="1:9" ht="15.75" x14ac:dyDescent="0.25">
      <c r="A87" s="96"/>
      <c r="B87" s="97"/>
      <c r="C87" s="98"/>
      <c r="D87" s="98"/>
      <c r="E87" s="98"/>
      <c r="I87" s="13"/>
    </row>
    <row r="88" spans="1:9" ht="15.75" x14ac:dyDescent="0.25">
      <c r="A88" s="21"/>
      <c r="B88" s="21"/>
      <c r="C88" s="22"/>
      <c r="D88" s="22"/>
      <c r="E88" s="22"/>
      <c r="I88" s="13"/>
    </row>
    <row r="89" spans="1:9" ht="15.75" x14ac:dyDescent="0.25">
      <c r="A89" s="22"/>
      <c r="B89" s="22"/>
      <c r="C89" s="22"/>
      <c r="D89" s="22"/>
      <c r="E89" s="22"/>
      <c r="I89" s="13"/>
    </row>
    <row r="90" spans="1:9" ht="15" customHeight="1" x14ac:dyDescent="0.25">
      <c r="A90" s="13"/>
      <c r="B90" s="13"/>
      <c r="C90" s="13"/>
      <c r="D90" s="13"/>
      <c r="E90" s="13"/>
      <c r="I90" s="13"/>
    </row>
    <row r="91" spans="1:9" ht="15.75" x14ac:dyDescent="0.25">
      <c r="A91" s="96"/>
      <c r="B91" s="97"/>
      <c r="C91" s="98"/>
      <c r="D91" s="98"/>
      <c r="E91" s="98"/>
      <c r="I91" s="13"/>
    </row>
    <row r="92" spans="1:9" ht="15.75" x14ac:dyDescent="0.25">
      <c r="A92" s="21"/>
      <c r="B92" s="21"/>
      <c r="C92" s="22"/>
      <c r="D92" s="22"/>
      <c r="E92" s="22"/>
      <c r="I92" s="13"/>
    </row>
    <row r="93" spans="1:9" ht="15.75" x14ac:dyDescent="0.25">
      <c r="A93" s="22"/>
      <c r="B93" s="22"/>
      <c r="C93" s="22"/>
      <c r="D93" s="22"/>
      <c r="E93" s="22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</sheetData>
  <sheetProtection algorithmName="SHA-512" hashValue="hDpFug792uhWO7/27jcsvvst5A1Clz2eax+wXh8qpwRsNCuHmCFndisjQaQNicU3Qnv3E+CRTRcw38wQGPOhSg==" saltValue="yc8SwwM7KFlFdSLfOZUNbg==" spinCount="100000" sheet="1" objects="1" scenarios="1" formatCells="0" formatColumns="0" formatRows="0" selectLockedCells="1"/>
  <mergeCells count="7">
    <mergeCell ref="C79:E79"/>
    <mergeCell ref="F2:H2"/>
    <mergeCell ref="C1:H1"/>
    <mergeCell ref="A77:H77"/>
    <mergeCell ref="A2:A4"/>
    <mergeCell ref="C2:E2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A434-41A7-4438-87DC-EFD9BF1D07AD}">
  <sheetPr>
    <tabColor theme="3" tint="0.59999389629810485"/>
  </sheetPr>
  <dimension ref="A1:M21"/>
  <sheetViews>
    <sheetView showGridLines="0" showZeros="0" zoomScale="90" zoomScaleNormal="90" workbookViewId="0">
      <selection activeCell="D6" sqref="D6"/>
    </sheetView>
  </sheetViews>
  <sheetFormatPr defaultRowHeight="15" x14ac:dyDescent="0.25"/>
  <cols>
    <col min="1" max="1" width="71.5703125" customWidth="1"/>
    <col min="2" max="2" width="18.85546875" customWidth="1"/>
    <col min="3" max="3" width="18.42578125" customWidth="1"/>
    <col min="4" max="4" width="18" customWidth="1"/>
    <col min="5" max="8" width="7.140625" customWidth="1"/>
    <col min="9" max="38" width="8.7109375" customWidth="1"/>
    <col min="39" max="39" width="6.42578125" customWidth="1"/>
    <col min="40" max="45" width="9.140625" customWidth="1"/>
    <col min="250" max="250" width="71.5703125" customWidth="1"/>
    <col min="251" max="251" width="18.85546875" customWidth="1"/>
    <col min="252" max="252" width="18.42578125" customWidth="1"/>
    <col min="253" max="253" width="0" hidden="1" customWidth="1"/>
    <col min="254" max="254" width="18.42578125" customWidth="1"/>
    <col min="255" max="256" width="0" hidden="1" customWidth="1"/>
    <col min="257" max="257" width="18.5703125" customWidth="1"/>
    <col min="258" max="258" width="6.42578125" customWidth="1"/>
    <col min="259" max="259" width="9" customWidth="1"/>
    <col min="260" max="264" width="7.140625" customWidth="1"/>
    <col min="265" max="294" width="8.7109375" customWidth="1"/>
    <col min="295" max="295" width="6.42578125" customWidth="1"/>
    <col min="506" max="506" width="71.5703125" customWidth="1"/>
    <col min="507" max="507" width="18.85546875" customWidth="1"/>
    <col min="508" max="508" width="18.42578125" customWidth="1"/>
    <col min="509" max="509" width="0" hidden="1" customWidth="1"/>
    <col min="510" max="510" width="18.42578125" customWidth="1"/>
    <col min="511" max="512" width="0" hidden="1" customWidth="1"/>
    <col min="513" max="513" width="18.5703125" customWidth="1"/>
    <col min="514" max="514" width="6.42578125" customWidth="1"/>
    <col min="515" max="515" width="9" customWidth="1"/>
    <col min="516" max="520" width="7.140625" customWidth="1"/>
    <col min="521" max="550" width="8.7109375" customWidth="1"/>
    <col min="551" max="551" width="6.42578125" customWidth="1"/>
    <col min="762" max="762" width="71.5703125" customWidth="1"/>
    <col min="763" max="763" width="18.85546875" customWidth="1"/>
    <col min="764" max="764" width="18.42578125" customWidth="1"/>
    <col min="765" max="765" width="0" hidden="1" customWidth="1"/>
    <col min="766" max="766" width="18.42578125" customWidth="1"/>
    <col min="767" max="768" width="0" hidden="1" customWidth="1"/>
    <col min="769" max="769" width="18.5703125" customWidth="1"/>
    <col min="770" max="770" width="6.42578125" customWidth="1"/>
    <col min="771" max="771" width="9" customWidth="1"/>
    <col min="772" max="776" width="7.140625" customWidth="1"/>
    <col min="777" max="806" width="8.7109375" customWidth="1"/>
    <col min="807" max="807" width="6.42578125" customWidth="1"/>
    <col min="1018" max="1018" width="71.5703125" customWidth="1"/>
    <col min="1019" max="1019" width="18.85546875" customWidth="1"/>
    <col min="1020" max="1020" width="18.42578125" customWidth="1"/>
    <col min="1021" max="1021" width="0" hidden="1" customWidth="1"/>
    <col min="1022" max="1022" width="18.42578125" customWidth="1"/>
    <col min="1023" max="1024" width="0" hidden="1" customWidth="1"/>
    <col min="1025" max="1025" width="18.5703125" customWidth="1"/>
    <col min="1026" max="1026" width="6.42578125" customWidth="1"/>
    <col min="1027" max="1027" width="9" customWidth="1"/>
    <col min="1028" max="1032" width="7.140625" customWidth="1"/>
    <col min="1033" max="1062" width="8.7109375" customWidth="1"/>
    <col min="1063" max="1063" width="6.42578125" customWidth="1"/>
    <col min="1274" max="1274" width="71.5703125" customWidth="1"/>
    <col min="1275" max="1275" width="18.85546875" customWidth="1"/>
    <col min="1276" max="1276" width="18.42578125" customWidth="1"/>
    <col min="1277" max="1277" width="0" hidden="1" customWidth="1"/>
    <col min="1278" max="1278" width="18.42578125" customWidth="1"/>
    <col min="1279" max="1280" width="0" hidden="1" customWidth="1"/>
    <col min="1281" max="1281" width="18.5703125" customWidth="1"/>
    <col min="1282" max="1282" width="6.42578125" customWidth="1"/>
    <col min="1283" max="1283" width="9" customWidth="1"/>
    <col min="1284" max="1288" width="7.140625" customWidth="1"/>
    <col min="1289" max="1318" width="8.7109375" customWidth="1"/>
    <col min="1319" max="1319" width="6.42578125" customWidth="1"/>
    <col min="1530" max="1530" width="71.5703125" customWidth="1"/>
    <col min="1531" max="1531" width="18.85546875" customWidth="1"/>
    <col min="1532" max="1532" width="18.42578125" customWidth="1"/>
    <col min="1533" max="1533" width="0" hidden="1" customWidth="1"/>
    <col min="1534" max="1534" width="18.42578125" customWidth="1"/>
    <col min="1535" max="1536" width="0" hidden="1" customWidth="1"/>
    <col min="1537" max="1537" width="18.5703125" customWidth="1"/>
    <col min="1538" max="1538" width="6.42578125" customWidth="1"/>
    <col min="1539" max="1539" width="9" customWidth="1"/>
    <col min="1540" max="1544" width="7.140625" customWidth="1"/>
    <col min="1545" max="1574" width="8.7109375" customWidth="1"/>
    <col min="1575" max="1575" width="6.42578125" customWidth="1"/>
    <col min="1786" max="1786" width="71.5703125" customWidth="1"/>
    <col min="1787" max="1787" width="18.85546875" customWidth="1"/>
    <col min="1788" max="1788" width="18.42578125" customWidth="1"/>
    <col min="1789" max="1789" width="0" hidden="1" customWidth="1"/>
    <col min="1790" max="1790" width="18.42578125" customWidth="1"/>
    <col min="1791" max="1792" width="0" hidden="1" customWidth="1"/>
    <col min="1793" max="1793" width="18.5703125" customWidth="1"/>
    <col min="1794" max="1794" width="6.42578125" customWidth="1"/>
    <col min="1795" max="1795" width="9" customWidth="1"/>
    <col min="1796" max="1800" width="7.140625" customWidth="1"/>
    <col min="1801" max="1830" width="8.7109375" customWidth="1"/>
    <col min="1831" max="1831" width="6.42578125" customWidth="1"/>
    <col min="2042" max="2042" width="71.5703125" customWidth="1"/>
    <col min="2043" max="2043" width="18.85546875" customWidth="1"/>
    <col min="2044" max="2044" width="18.42578125" customWidth="1"/>
    <col min="2045" max="2045" width="0" hidden="1" customWidth="1"/>
    <col min="2046" max="2046" width="18.42578125" customWidth="1"/>
    <col min="2047" max="2048" width="0" hidden="1" customWidth="1"/>
    <col min="2049" max="2049" width="18.5703125" customWidth="1"/>
    <col min="2050" max="2050" width="6.42578125" customWidth="1"/>
    <col min="2051" max="2051" width="9" customWidth="1"/>
    <col min="2052" max="2056" width="7.140625" customWidth="1"/>
    <col min="2057" max="2086" width="8.7109375" customWidth="1"/>
    <col min="2087" max="2087" width="6.42578125" customWidth="1"/>
    <col min="2298" max="2298" width="71.5703125" customWidth="1"/>
    <col min="2299" max="2299" width="18.85546875" customWidth="1"/>
    <col min="2300" max="2300" width="18.42578125" customWidth="1"/>
    <col min="2301" max="2301" width="0" hidden="1" customWidth="1"/>
    <col min="2302" max="2302" width="18.42578125" customWidth="1"/>
    <col min="2303" max="2304" width="0" hidden="1" customWidth="1"/>
    <col min="2305" max="2305" width="18.5703125" customWidth="1"/>
    <col min="2306" max="2306" width="6.42578125" customWidth="1"/>
    <col min="2307" max="2307" width="9" customWidth="1"/>
    <col min="2308" max="2312" width="7.140625" customWidth="1"/>
    <col min="2313" max="2342" width="8.7109375" customWidth="1"/>
    <col min="2343" max="2343" width="6.42578125" customWidth="1"/>
    <col min="2554" max="2554" width="71.5703125" customWidth="1"/>
    <col min="2555" max="2555" width="18.85546875" customWidth="1"/>
    <col min="2556" max="2556" width="18.42578125" customWidth="1"/>
    <col min="2557" max="2557" width="0" hidden="1" customWidth="1"/>
    <col min="2558" max="2558" width="18.42578125" customWidth="1"/>
    <col min="2559" max="2560" width="0" hidden="1" customWidth="1"/>
    <col min="2561" max="2561" width="18.5703125" customWidth="1"/>
    <col min="2562" max="2562" width="6.42578125" customWidth="1"/>
    <col min="2563" max="2563" width="9" customWidth="1"/>
    <col min="2564" max="2568" width="7.140625" customWidth="1"/>
    <col min="2569" max="2598" width="8.7109375" customWidth="1"/>
    <col min="2599" max="2599" width="6.42578125" customWidth="1"/>
    <col min="2810" max="2810" width="71.5703125" customWidth="1"/>
    <col min="2811" max="2811" width="18.85546875" customWidth="1"/>
    <col min="2812" max="2812" width="18.42578125" customWidth="1"/>
    <col min="2813" max="2813" width="0" hidden="1" customWidth="1"/>
    <col min="2814" max="2814" width="18.42578125" customWidth="1"/>
    <col min="2815" max="2816" width="0" hidden="1" customWidth="1"/>
    <col min="2817" max="2817" width="18.5703125" customWidth="1"/>
    <col min="2818" max="2818" width="6.42578125" customWidth="1"/>
    <col min="2819" max="2819" width="9" customWidth="1"/>
    <col min="2820" max="2824" width="7.140625" customWidth="1"/>
    <col min="2825" max="2854" width="8.7109375" customWidth="1"/>
    <col min="2855" max="2855" width="6.42578125" customWidth="1"/>
    <col min="3066" max="3066" width="71.5703125" customWidth="1"/>
    <col min="3067" max="3067" width="18.85546875" customWidth="1"/>
    <col min="3068" max="3068" width="18.42578125" customWidth="1"/>
    <col min="3069" max="3069" width="0" hidden="1" customWidth="1"/>
    <col min="3070" max="3070" width="18.42578125" customWidth="1"/>
    <col min="3071" max="3072" width="0" hidden="1" customWidth="1"/>
    <col min="3073" max="3073" width="18.5703125" customWidth="1"/>
    <col min="3074" max="3074" width="6.42578125" customWidth="1"/>
    <col min="3075" max="3075" width="9" customWidth="1"/>
    <col min="3076" max="3080" width="7.140625" customWidth="1"/>
    <col min="3081" max="3110" width="8.7109375" customWidth="1"/>
    <col min="3111" max="3111" width="6.42578125" customWidth="1"/>
    <col min="3322" max="3322" width="71.5703125" customWidth="1"/>
    <col min="3323" max="3323" width="18.85546875" customWidth="1"/>
    <col min="3324" max="3324" width="18.42578125" customWidth="1"/>
    <col min="3325" max="3325" width="0" hidden="1" customWidth="1"/>
    <col min="3326" max="3326" width="18.42578125" customWidth="1"/>
    <col min="3327" max="3328" width="0" hidden="1" customWidth="1"/>
    <col min="3329" max="3329" width="18.5703125" customWidth="1"/>
    <col min="3330" max="3330" width="6.42578125" customWidth="1"/>
    <col min="3331" max="3331" width="9" customWidth="1"/>
    <col min="3332" max="3336" width="7.140625" customWidth="1"/>
    <col min="3337" max="3366" width="8.7109375" customWidth="1"/>
    <col min="3367" max="3367" width="6.42578125" customWidth="1"/>
    <col min="3578" max="3578" width="71.5703125" customWidth="1"/>
    <col min="3579" max="3579" width="18.85546875" customWidth="1"/>
    <col min="3580" max="3580" width="18.42578125" customWidth="1"/>
    <col min="3581" max="3581" width="0" hidden="1" customWidth="1"/>
    <col min="3582" max="3582" width="18.42578125" customWidth="1"/>
    <col min="3583" max="3584" width="0" hidden="1" customWidth="1"/>
    <col min="3585" max="3585" width="18.5703125" customWidth="1"/>
    <col min="3586" max="3586" width="6.42578125" customWidth="1"/>
    <col min="3587" max="3587" width="9" customWidth="1"/>
    <col min="3588" max="3592" width="7.140625" customWidth="1"/>
    <col min="3593" max="3622" width="8.7109375" customWidth="1"/>
    <col min="3623" max="3623" width="6.42578125" customWidth="1"/>
    <col min="3834" max="3834" width="71.5703125" customWidth="1"/>
    <col min="3835" max="3835" width="18.85546875" customWidth="1"/>
    <col min="3836" max="3836" width="18.42578125" customWidth="1"/>
    <col min="3837" max="3837" width="0" hidden="1" customWidth="1"/>
    <col min="3838" max="3838" width="18.42578125" customWidth="1"/>
    <col min="3839" max="3840" width="0" hidden="1" customWidth="1"/>
    <col min="3841" max="3841" width="18.5703125" customWidth="1"/>
    <col min="3842" max="3842" width="6.42578125" customWidth="1"/>
    <col min="3843" max="3843" width="9" customWidth="1"/>
    <col min="3844" max="3848" width="7.140625" customWidth="1"/>
    <col min="3849" max="3878" width="8.7109375" customWidth="1"/>
    <col min="3879" max="3879" width="6.42578125" customWidth="1"/>
    <col min="4090" max="4090" width="71.5703125" customWidth="1"/>
    <col min="4091" max="4091" width="18.85546875" customWidth="1"/>
    <col min="4092" max="4092" width="18.42578125" customWidth="1"/>
    <col min="4093" max="4093" width="0" hidden="1" customWidth="1"/>
    <col min="4094" max="4094" width="18.42578125" customWidth="1"/>
    <col min="4095" max="4096" width="0" hidden="1" customWidth="1"/>
    <col min="4097" max="4097" width="18.5703125" customWidth="1"/>
    <col min="4098" max="4098" width="6.42578125" customWidth="1"/>
    <col min="4099" max="4099" width="9" customWidth="1"/>
    <col min="4100" max="4104" width="7.140625" customWidth="1"/>
    <col min="4105" max="4134" width="8.7109375" customWidth="1"/>
    <col min="4135" max="4135" width="6.42578125" customWidth="1"/>
    <col min="4346" max="4346" width="71.5703125" customWidth="1"/>
    <col min="4347" max="4347" width="18.85546875" customWidth="1"/>
    <col min="4348" max="4348" width="18.42578125" customWidth="1"/>
    <col min="4349" max="4349" width="0" hidden="1" customWidth="1"/>
    <col min="4350" max="4350" width="18.42578125" customWidth="1"/>
    <col min="4351" max="4352" width="0" hidden="1" customWidth="1"/>
    <col min="4353" max="4353" width="18.5703125" customWidth="1"/>
    <col min="4354" max="4354" width="6.42578125" customWidth="1"/>
    <col min="4355" max="4355" width="9" customWidth="1"/>
    <col min="4356" max="4360" width="7.140625" customWidth="1"/>
    <col min="4361" max="4390" width="8.7109375" customWidth="1"/>
    <col min="4391" max="4391" width="6.42578125" customWidth="1"/>
    <col min="4602" max="4602" width="71.5703125" customWidth="1"/>
    <col min="4603" max="4603" width="18.85546875" customWidth="1"/>
    <col min="4604" max="4604" width="18.42578125" customWidth="1"/>
    <col min="4605" max="4605" width="0" hidden="1" customWidth="1"/>
    <col min="4606" max="4606" width="18.42578125" customWidth="1"/>
    <col min="4607" max="4608" width="0" hidden="1" customWidth="1"/>
    <col min="4609" max="4609" width="18.5703125" customWidth="1"/>
    <col min="4610" max="4610" width="6.42578125" customWidth="1"/>
    <col min="4611" max="4611" width="9" customWidth="1"/>
    <col min="4612" max="4616" width="7.140625" customWidth="1"/>
    <col min="4617" max="4646" width="8.7109375" customWidth="1"/>
    <col min="4647" max="4647" width="6.42578125" customWidth="1"/>
    <col min="4858" max="4858" width="71.5703125" customWidth="1"/>
    <col min="4859" max="4859" width="18.85546875" customWidth="1"/>
    <col min="4860" max="4860" width="18.42578125" customWidth="1"/>
    <col min="4861" max="4861" width="0" hidden="1" customWidth="1"/>
    <col min="4862" max="4862" width="18.42578125" customWidth="1"/>
    <col min="4863" max="4864" width="0" hidden="1" customWidth="1"/>
    <col min="4865" max="4865" width="18.5703125" customWidth="1"/>
    <col min="4866" max="4866" width="6.42578125" customWidth="1"/>
    <col min="4867" max="4867" width="9" customWidth="1"/>
    <col min="4868" max="4872" width="7.140625" customWidth="1"/>
    <col min="4873" max="4902" width="8.7109375" customWidth="1"/>
    <col min="4903" max="4903" width="6.42578125" customWidth="1"/>
    <col min="5114" max="5114" width="71.5703125" customWidth="1"/>
    <col min="5115" max="5115" width="18.85546875" customWidth="1"/>
    <col min="5116" max="5116" width="18.42578125" customWidth="1"/>
    <col min="5117" max="5117" width="0" hidden="1" customWidth="1"/>
    <col min="5118" max="5118" width="18.42578125" customWidth="1"/>
    <col min="5119" max="5120" width="0" hidden="1" customWidth="1"/>
    <col min="5121" max="5121" width="18.5703125" customWidth="1"/>
    <col min="5122" max="5122" width="6.42578125" customWidth="1"/>
    <col min="5123" max="5123" width="9" customWidth="1"/>
    <col min="5124" max="5128" width="7.140625" customWidth="1"/>
    <col min="5129" max="5158" width="8.7109375" customWidth="1"/>
    <col min="5159" max="5159" width="6.42578125" customWidth="1"/>
    <col min="5370" max="5370" width="71.5703125" customWidth="1"/>
    <col min="5371" max="5371" width="18.85546875" customWidth="1"/>
    <col min="5372" max="5372" width="18.42578125" customWidth="1"/>
    <col min="5373" max="5373" width="0" hidden="1" customWidth="1"/>
    <col min="5374" max="5374" width="18.42578125" customWidth="1"/>
    <col min="5375" max="5376" width="0" hidden="1" customWidth="1"/>
    <col min="5377" max="5377" width="18.5703125" customWidth="1"/>
    <col min="5378" max="5378" width="6.42578125" customWidth="1"/>
    <col min="5379" max="5379" width="9" customWidth="1"/>
    <col min="5380" max="5384" width="7.140625" customWidth="1"/>
    <col min="5385" max="5414" width="8.7109375" customWidth="1"/>
    <col min="5415" max="5415" width="6.42578125" customWidth="1"/>
    <col min="5626" max="5626" width="71.5703125" customWidth="1"/>
    <col min="5627" max="5627" width="18.85546875" customWidth="1"/>
    <col min="5628" max="5628" width="18.42578125" customWidth="1"/>
    <col min="5629" max="5629" width="0" hidden="1" customWidth="1"/>
    <col min="5630" max="5630" width="18.42578125" customWidth="1"/>
    <col min="5631" max="5632" width="0" hidden="1" customWidth="1"/>
    <col min="5633" max="5633" width="18.5703125" customWidth="1"/>
    <col min="5634" max="5634" width="6.42578125" customWidth="1"/>
    <col min="5635" max="5635" width="9" customWidth="1"/>
    <col min="5636" max="5640" width="7.140625" customWidth="1"/>
    <col min="5641" max="5670" width="8.7109375" customWidth="1"/>
    <col min="5671" max="5671" width="6.42578125" customWidth="1"/>
    <col min="5882" max="5882" width="71.5703125" customWidth="1"/>
    <col min="5883" max="5883" width="18.85546875" customWidth="1"/>
    <col min="5884" max="5884" width="18.42578125" customWidth="1"/>
    <col min="5885" max="5885" width="0" hidden="1" customWidth="1"/>
    <col min="5886" max="5886" width="18.42578125" customWidth="1"/>
    <col min="5887" max="5888" width="0" hidden="1" customWidth="1"/>
    <col min="5889" max="5889" width="18.5703125" customWidth="1"/>
    <col min="5890" max="5890" width="6.42578125" customWidth="1"/>
    <col min="5891" max="5891" width="9" customWidth="1"/>
    <col min="5892" max="5896" width="7.140625" customWidth="1"/>
    <col min="5897" max="5926" width="8.7109375" customWidth="1"/>
    <col min="5927" max="5927" width="6.42578125" customWidth="1"/>
    <col min="6138" max="6138" width="71.5703125" customWidth="1"/>
    <col min="6139" max="6139" width="18.85546875" customWidth="1"/>
    <col min="6140" max="6140" width="18.42578125" customWidth="1"/>
    <col min="6141" max="6141" width="0" hidden="1" customWidth="1"/>
    <col min="6142" max="6142" width="18.42578125" customWidth="1"/>
    <col min="6143" max="6144" width="0" hidden="1" customWidth="1"/>
    <col min="6145" max="6145" width="18.5703125" customWidth="1"/>
    <col min="6146" max="6146" width="6.42578125" customWidth="1"/>
    <col min="6147" max="6147" width="9" customWidth="1"/>
    <col min="6148" max="6152" width="7.140625" customWidth="1"/>
    <col min="6153" max="6182" width="8.7109375" customWidth="1"/>
    <col min="6183" max="6183" width="6.42578125" customWidth="1"/>
    <col min="6394" max="6394" width="71.5703125" customWidth="1"/>
    <col min="6395" max="6395" width="18.85546875" customWidth="1"/>
    <col min="6396" max="6396" width="18.42578125" customWidth="1"/>
    <col min="6397" max="6397" width="0" hidden="1" customWidth="1"/>
    <col min="6398" max="6398" width="18.42578125" customWidth="1"/>
    <col min="6399" max="6400" width="0" hidden="1" customWidth="1"/>
    <col min="6401" max="6401" width="18.5703125" customWidth="1"/>
    <col min="6402" max="6402" width="6.42578125" customWidth="1"/>
    <col min="6403" max="6403" width="9" customWidth="1"/>
    <col min="6404" max="6408" width="7.140625" customWidth="1"/>
    <col min="6409" max="6438" width="8.7109375" customWidth="1"/>
    <col min="6439" max="6439" width="6.42578125" customWidth="1"/>
    <col min="6650" max="6650" width="71.5703125" customWidth="1"/>
    <col min="6651" max="6651" width="18.85546875" customWidth="1"/>
    <col min="6652" max="6652" width="18.42578125" customWidth="1"/>
    <col min="6653" max="6653" width="0" hidden="1" customWidth="1"/>
    <col min="6654" max="6654" width="18.42578125" customWidth="1"/>
    <col min="6655" max="6656" width="0" hidden="1" customWidth="1"/>
    <col min="6657" max="6657" width="18.5703125" customWidth="1"/>
    <col min="6658" max="6658" width="6.42578125" customWidth="1"/>
    <col min="6659" max="6659" width="9" customWidth="1"/>
    <col min="6660" max="6664" width="7.140625" customWidth="1"/>
    <col min="6665" max="6694" width="8.7109375" customWidth="1"/>
    <col min="6695" max="6695" width="6.42578125" customWidth="1"/>
    <col min="6906" max="6906" width="71.5703125" customWidth="1"/>
    <col min="6907" max="6907" width="18.85546875" customWidth="1"/>
    <col min="6908" max="6908" width="18.42578125" customWidth="1"/>
    <col min="6909" max="6909" width="0" hidden="1" customWidth="1"/>
    <col min="6910" max="6910" width="18.42578125" customWidth="1"/>
    <col min="6911" max="6912" width="0" hidden="1" customWidth="1"/>
    <col min="6913" max="6913" width="18.5703125" customWidth="1"/>
    <col min="6914" max="6914" width="6.42578125" customWidth="1"/>
    <col min="6915" max="6915" width="9" customWidth="1"/>
    <col min="6916" max="6920" width="7.140625" customWidth="1"/>
    <col min="6921" max="6950" width="8.7109375" customWidth="1"/>
    <col min="6951" max="6951" width="6.42578125" customWidth="1"/>
    <col min="7162" max="7162" width="71.5703125" customWidth="1"/>
    <col min="7163" max="7163" width="18.85546875" customWidth="1"/>
    <col min="7164" max="7164" width="18.42578125" customWidth="1"/>
    <col min="7165" max="7165" width="0" hidden="1" customWidth="1"/>
    <col min="7166" max="7166" width="18.42578125" customWidth="1"/>
    <col min="7167" max="7168" width="0" hidden="1" customWidth="1"/>
    <col min="7169" max="7169" width="18.5703125" customWidth="1"/>
    <col min="7170" max="7170" width="6.42578125" customWidth="1"/>
    <col min="7171" max="7171" width="9" customWidth="1"/>
    <col min="7172" max="7176" width="7.140625" customWidth="1"/>
    <col min="7177" max="7206" width="8.7109375" customWidth="1"/>
    <col min="7207" max="7207" width="6.42578125" customWidth="1"/>
    <col min="7418" max="7418" width="71.5703125" customWidth="1"/>
    <col min="7419" max="7419" width="18.85546875" customWidth="1"/>
    <col min="7420" max="7420" width="18.42578125" customWidth="1"/>
    <col min="7421" max="7421" width="0" hidden="1" customWidth="1"/>
    <col min="7422" max="7422" width="18.42578125" customWidth="1"/>
    <col min="7423" max="7424" width="0" hidden="1" customWidth="1"/>
    <col min="7425" max="7425" width="18.5703125" customWidth="1"/>
    <col min="7426" max="7426" width="6.42578125" customWidth="1"/>
    <col min="7427" max="7427" width="9" customWidth="1"/>
    <col min="7428" max="7432" width="7.140625" customWidth="1"/>
    <col min="7433" max="7462" width="8.7109375" customWidth="1"/>
    <col min="7463" max="7463" width="6.42578125" customWidth="1"/>
    <col min="7674" max="7674" width="71.5703125" customWidth="1"/>
    <col min="7675" max="7675" width="18.85546875" customWidth="1"/>
    <col min="7676" max="7676" width="18.42578125" customWidth="1"/>
    <col min="7677" max="7677" width="0" hidden="1" customWidth="1"/>
    <col min="7678" max="7678" width="18.42578125" customWidth="1"/>
    <col min="7679" max="7680" width="0" hidden="1" customWidth="1"/>
    <col min="7681" max="7681" width="18.5703125" customWidth="1"/>
    <col min="7682" max="7682" width="6.42578125" customWidth="1"/>
    <col min="7683" max="7683" width="9" customWidth="1"/>
    <col min="7684" max="7688" width="7.140625" customWidth="1"/>
    <col min="7689" max="7718" width="8.7109375" customWidth="1"/>
    <col min="7719" max="7719" width="6.42578125" customWidth="1"/>
    <col min="7930" max="7930" width="71.5703125" customWidth="1"/>
    <col min="7931" max="7931" width="18.85546875" customWidth="1"/>
    <col min="7932" max="7932" width="18.42578125" customWidth="1"/>
    <col min="7933" max="7933" width="0" hidden="1" customWidth="1"/>
    <col min="7934" max="7934" width="18.42578125" customWidth="1"/>
    <col min="7935" max="7936" width="0" hidden="1" customWidth="1"/>
    <col min="7937" max="7937" width="18.5703125" customWidth="1"/>
    <col min="7938" max="7938" width="6.42578125" customWidth="1"/>
    <col min="7939" max="7939" width="9" customWidth="1"/>
    <col min="7940" max="7944" width="7.140625" customWidth="1"/>
    <col min="7945" max="7974" width="8.7109375" customWidth="1"/>
    <col min="7975" max="7975" width="6.42578125" customWidth="1"/>
    <col min="8186" max="8186" width="71.5703125" customWidth="1"/>
    <col min="8187" max="8187" width="18.85546875" customWidth="1"/>
    <col min="8188" max="8188" width="18.42578125" customWidth="1"/>
    <col min="8189" max="8189" width="0" hidden="1" customWidth="1"/>
    <col min="8190" max="8190" width="18.42578125" customWidth="1"/>
    <col min="8191" max="8192" width="0" hidden="1" customWidth="1"/>
    <col min="8193" max="8193" width="18.5703125" customWidth="1"/>
    <col min="8194" max="8194" width="6.42578125" customWidth="1"/>
    <col min="8195" max="8195" width="9" customWidth="1"/>
    <col min="8196" max="8200" width="7.140625" customWidth="1"/>
    <col min="8201" max="8230" width="8.7109375" customWidth="1"/>
    <col min="8231" max="8231" width="6.42578125" customWidth="1"/>
    <col min="8442" max="8442" width="71.5703125" customWidth="1"/>
    <col min="8443" max="8443" width="18.85546875" customWidth="1"/>
    <col min="8444" max="8444" width="18.42578125" customWidth="1"/>
    <col min="8445" max="8445" width="0" hidden="1" customWidth="1"/>
    <col min="8446" max="8446" width="18.42578125" customWidth="1"/>
    <col min="8447" max="8448" width="0" hidden="1" customWidth="1"/>
    <col min="8449" max="8449" width="18.5703125" customWidth="1"/>
    <col min="8450" max="8450" width="6.42578125" customWidth="1"/>
    <col min="8451" max="8451" width="9" customWidth="1"/>
    <col min="8452" max="8456" width="7.140625" customWidth="1"/>
    <col min="8457" max="8486" width="8.7109375" customWidth="1"/>
    <col min="8487" max="8487" width="6.42578125" customWidth="1"/>
    <col min="8698" max="8698" width="71.5703125" customWidth="1"/>
    <col min="8699" max="8699" width="18.85546875" customWidth="1"/>
    <col min="8700" max="8700" width="18.42578125" customWidth="1"/>
    <col min="8701" max="8701" width="0" hidden="1" customWidth="1"/>
    <col min="8702" max="8702" width="18.42578125" customWidth="1"/>
    <col min="8703" max="8704" width="0" hidden="1" customWidth="1"/>
    <col min="8705" max="8705" width="18.5703125" customWidth="1"/>
    <col min="8706" max="8706" width="6.42578125" customWidth="1"/>
    <col min="8707" max="8707" width="9" customWidth="1"/>
    <col min="8708" max="8712" width="7.140625" customWidth="1"/>
    <col min="8713" max="8742" width="8.7109375" customWidth="1"/>
    <col min="8743" max="8743" width="6.42578125" customWidth="1"/>
    <col min="8954" max="8954" width="71.5703125" customWidth="1"/>
    <col min="8955" max="8955" width="18.85546875" customWidth="1"/>
    <col min="8956" max="8956" width="18.42578125" customWidth="1"/>
    <col min="8957" max="8957" width="0" hidden="1" customWidth="1"/>
    <col min="8958" max="8958" width="18.42578125" customWidth="1"/>
    <col min="8959" max="8960" width="0" hidden="1" customWidth="1"/>
    <col min="8961" max="8961" width="18.5703125" customWidth="1"/>
    <col min="8962" max="8962" width="6.42578125" customWidth="1"/>
    <col min="8963" max="8963" width="9" customWidth="1"/>
    <col min="8964" max="8968" width="7.140625" customWidth="1"/>
    <col min="8969" max="8998" width="8.7109375" customWidth="1"/>
    <col min="8999" max="8999" width="6.42578125" customWidth="1"/>
    <col min="9210" max="9210" width="71.5703125" customWidth="1"/>
    <col min="9211" max="9211" width="18.85546875" customWidth="1"/>
    <col min="9212" max="9212" width="18.42578125" customWidth="1"/>
    <col min="9213" max="9213" width="0" hidden="1" customWidth="1"/>
    <col min="9214" max="9214" width="18.42578125" customWidth="1"/>
    <col min="9215" max="9216" width="0" hidden="1" customWidth="1"/>
    <col min="9217" max="9217" width="18.5703125" customWidth="1"/>
    <col min="9218" max="9218" width="6.42578125" customWidth="1"/>
    <col min="9219" max="9219" width="9" customWidth="1"/>
    <col min="9220" max="9224" width="7.140625" customWidth="1"/>
    <col min="9225" max="9254" width="8.7109375" customWidth="1"/>
    <col min="9255" max="9255" width="6.42578125" customWidth="1"/>
    <col min="9466" max="9466" width="71.5703125" customWidth="1"/>
    <col min="9467" max="9467" width="18.85546875" customWidth="1"/>
    <col min="9468" max="9468" width="18.42578125" customWidth="1"/>
    <col min="9469" max="9469" width="0" hidden="1" customWidth="1"/>
    <col min="9470" max="9470" width="18.42578125" customWidth="1"/>
    <col min="9471" max="9472" width="0" hidden="1" customWidth="1"/>
    <col min="9473" max="9473" width="18.5703125" customWidth="1"/>
    <col min="9474" max="9474" width="6.42578125" customWidth="1"/>
    <col min="9475" max="9475" width="9" customWidth="1"/>
    <col min="9476" max="9480" width="7.140625" customWidth="1"/>
    <col min="9481" max="9510" width="8.7109375" customWidth="1"/>
    <col min="9511" max="9511" width="6.42578125" customWidth="1"/>
    <col min="9722" max="9722" width="71.5703125" customWidth="1"/>
    <col min="9723" max="9723" width="18.85546875" customWidth="1"/>
    <col min="9724" max="9724" width="18.42578125" customWidth="1"/>
    <col min="9725" max="9725" width="0" hidden="1" customWidth="1"/>
    <col min="9726" max="9726" width="18.42578125" customWidth="1"/>
    <col min="9727" max="9728" width="0" hidden="1" customWidth="1"/>
    <col min="9729" max="9729" width="18.5703125" customWidth="1"/>
    <col min="9730" max="9730" width="6.42578125" customWidth="1"/>
    <col min="9731" max="9731" width="9" customWidth="1"/>
    <col min="9732" max="9736" width="7.140625" customWidth="1"/>
    <col min="9737" max="9766" width="8.7109375" customWidth="1"/>
    <col min="9767" max="9767" width="6.42578125" customWidth="1"/>
    <col min="9978" max="9978" width="71.5703125" customWidth="1"/>
    <col min="9979" max="9979" width="18.85546875" customWidth="1"/>
    <col min="9980" max="9980" width="18.42578125" customWidth="1"/>
    <col min="9981" max="9981" width="0" hidden="1" customWidth="1"/>
    <col min="9982" max="9982" width="18.42578125" customWidth="1"/>
    <col min="9983" max="9984" width="0" hidden="1" customWidth="1"/>
    <col min="9985" max="9985" width="18.5703125" customWidth="1"/>
    <col min="9986" max="9986" width="6.42578125" customWidth="1"/>
    <col min="9987" max="9987" width="9" customWidth="1"/>
    <col min="9988" max="9992" width="7.140625" customWidth="1"/>
    <col min="9993" max="10022" width="8.7109375" customWidth="1"/>
    <col min="10023" max="10023" width="6.42578125" customWidth="1"/>
    <col min="10234" max="10234" width="71.5703125" customWidth="1"/>
    <col min="10235" max="10235" width="18.85546875" customWidth="1"/>
    <col min="10236" max="10236" width="18.42578125" customWidth="1"/>
    <col min="10237" max="10237" width="0" hidden="1" customWidth="1"/>
    <col min="10238" max="10238" width="18.42578125" customWidth="1"/>
    <col min="10239" max="10240" width="0" hidden="1" customWidth="1"/>
    <col min="10241" max="10241" width="18.5703125" customWidth="1"/>
    <col min="10242" max="10242" width="6.42578125" customWidth="1"/>
    <col min="10243" max="10243" width="9" customWidth="1"/>
    <col min="10244" max="10248" width="7.140625" customWidth="1"/>
    <col min="10249" max="10278" width="8.7109375" customWidth="1"/>
    <col min="10279" max="10279" width="6.42578125" customWidth="1"/>
    <col min="10490" max="10490" width="71.5703125" customWidth="1"/>
    <col min="10491" max="10491" width="18.85546875" customWidth="1"/>
    <col min="10492" max="10492" width="18.42578125" customWidth="1"/>
    <col min="10493" max="10493" width="0" hidden="1" customWidth="1"/>
    <col min="10494" max="10494" width="18.42578125" customWidth="1"/>
    <col min="10495" max="10496" width="0" hidden="1" customWidth="1"/>
    <col min="10497" max="10497" width="18.5703125" customWidth="1"/>
    <col min="10498" max="10498" width="6.42578125" customWidth="1"/>
    <col min="10499" max="10499" width="9" customWidth="1"/>
    <col min="10500" max="10504" width="7.140625" customWidth="1"/>
    <col min="10505" max="10534" width="8.7109375" customWidth="1"/>
    <col min="10535" max="10535" width="6.42578125" customWidth="1"/>
    <col min="10746" max="10746" width="71.5703125" customWidth="1"/>
    <col min="10747" max="10747" width="18.85546875" customWidth="1"/>
    <col min="10748" max="10748" width="18.42578125" customWidth="1"/>
    <col min="10749" max="10749" width="0" hidden="1" customWidth="1"/>
    <col min="10750" max="10750" width="18.42578125" customWidth="1"/>
    <col min="10751" max="10752" width="0" hidden="1" customWidth="1"/>
    <col min="10753" max="10753" width="18.5703125" customWidth="1"/>
    <col min="10754" max="10754" width="6.42578125" customWidth="1"/>
    <col min="10755" max="10755" width="9" customWidth="1"/>
    <col min="10756" max="10760" width="7.140625" customWidth="1"/>
    <col min="10761" max="10790" width="8.7109375" customWidth="1"/>
    <col min="10791" max="10791" width="6.42578125" customWidth="1"/>
    <col min="11002" max="11002" width="71.5703125" customWidth="1"/>
    <col min="11003" max="11003" width="18.85546875" customWidth="1"/>
    <col min="11004" max="11004" width="18.42578125" customWidth="1"/>
    <col min="11005" max="11005" width="0" hidden="1" customWidth="1"/>
    <col min="11006" max="11006" width="18.42578125" customWidth="1"/>
    <col min="11007" max="11008" width="0" hidden="1" customWidth="1"/>
    <col min="11009" max="11009" width="18.5703125" customWidth="1"/>
    <col min="11010" max="11010" width="6.42578125" customWidth="1"/>
    <col min="11011" max="11011" width="9" customWidth="1"/>
    <col min="11012" max="11016" width="7.140625" customWidth="1"/>
    <col min="11017" max="11046" width="8.7109375" customWidth="1"/>
    <col min="11047" max="11047" width="6.42578125" customWidth="1"/>
    <col min="11258" max="11258" width="71.5703125" customWidth="1"/>
    <col min="11259" max="11259" width="18.85546875" customWidth="1"/>
    <col min="11260" max="11260" width="18.42578125" customWidth="1"/>
    <col min="11261" max="11261" width="0" hidden="1" customWidth="1"/>
    <col min="11262" max="11262" width="18.42578125" customWidth="1"/>
    <col min="11263" max="11264" width="0" hidden="1" customWidth="1"/>
    <col min="11265" max="11265" width="18.5703125" customWidth="1"/>
    <col min="11266" max="11266" width="6.42578125" customWidth="1"/>
    <col min="11267" max="11267" width="9" customWidth="1"/>
    <col min="11268" max="11272" width="7.140625" customWidth="1"/>
    <col min="11273" max="11302" width="8.7109375" customWidth="1"/>
    <col min="11303" max="11303" width="6.42578125" customWidth="1"/>
    <col min="11514" max="11514" width="71.5703125" customWidth="1"/>
    <col min="11515" max="11515" width="18.85546875" customWidth="1"/>
    <col min="11516" max="11516" width="18.42578125" customWidth="1"/>
    <col min="11517" max="11517" width="0" hidden="1" customWidth="1"/>
    <col min="11518" max="11518" width="18.42578125" customWidth="1"/>
    <col min="11519" max="11520" width="0" hidden="1" customWidth="1"/>
    <col min="11521" max="11521" width="18.5703125" customWidth="1"/>
    <col min="11522" max="11522" width="6.42578125" customWidth="1"/>
    <col min="11523" max="11523" width="9" customWidth="1"/>
    <col min="11524" max="11528" width="7.140625" customWidth="1"/>
    <col min="11529" max="11558" width="8.7109375" customWidth="1"/>
    <col min="11559" max="11559" width="6.42578125" customWidth="1"/>
    <col min="11770" max="11770" width="71.5703125" customWidth="1"/>
    <col min="11771" max="11771" width="18.85546875" customWidth="1"/>
    <col min="11772" max="11772" width="18.42578125" customWidth="1"/>
    <col min="11773" max="11773" width="0" hidden="1" customWidth="1"/>
    <col min="11774" max="11774" width="18.42578125" customWidth="1"/>
    <col min="11775" max="11776" width="0" hidden="1" customWidth="1"/>
    <col min="11777" max="11777" width="18.5703125" customWidth="1"/>
    <col min="11778" max="11778" width="6.42578125" customWidth="1"/>
    <col min="11779" max="11779" width="9" customWidth="1"/>
    <col min="11780" max="11784" width="7.140625" customWidth="1"/>
    <col min="11785" max="11814" width="8.7109375" customWidth="1"/>
    <col min="11815" max="11815" width="6.42578125" customWidth="1"/>
    <col min="12026" max="12026" width="71.5703125" customWidth="1"/>
    <col min="12027" max="12027" width="18.85546875" customWidth="1"/>
    <col min="12028" max="12028" width="18.42578125" customWidth="1"/>
    <col min="12029" max="12029" width="0" hidden="1" customWidth="1"/>
    <col min="12030" max="12030" width="18.42578125" customWidth="1"/>
    <col min="12031" max="12032" width="0" hidden="1" customWidth="1"/>
    <col min="12033" max="12033" width="18.5703125" customWidth="1"/>
    <col min="12034" max="12034" width="6.42578125" customWidth="1"/>
    <col min="12035" max="12035" width="9" customWidth="1"/>
    <col min="12036" max="12040" width="7.140625" customWidth="1"/>
    <col min="12041" max="12070" width="8.7109375" customWidth="1"/>
    <col min="12071" max="12071" width="6.42578125" customWidth="1"/>
    <col min="12282" max="12282" width="71.5703125" customWidth="1"/>
    <col min="12283" max="12283" width="18.85546875" customWidth="1"/>
    <col min="12284" max="12284" width="18.42578125" customWidth="1"/>
    <col min="12285" max="12285" width="0" hidden="1" customWidth="1"/>
    <col min="12286" max="12286" width="18.42578125" customWidth="1"/>
    <col min="12287" max="12288" width="0" hidden="1" customWidth="1"/>
    <col min="12289" max="12289" width="18.5703125" customWidth="1"/>
    <col min="12290" max="12290" width="6.42578125" customWidth="1"/>
    <col min="12291" max="12291" width="9" customWidth="1"/>
    <col min="12292" max="12296" width="7.140625" customWidth="1"/>
    <col min="12297" max="12326" width="8.7109375" customWidth="1"/>
    <col min="12327" max="12327" width="6.42578125" customWidth="1"/>
    <col min="12538" max="12538" width="71.5703125" customWidth="1"/>
    <col min="12539" max="12539" width="18.85546875" customWidth="1"/>
    <col min="12540" max="12540" width="18.42578125" customWidth="1"/>
    <col min="12541" max="12541" width="0" hidden="1" customWidth="1"/>
    <col min="12542" max="12542" width="18.42578125" customWidth="1"/>
    <col min="12543" max="12544" width="0" hidden="1" customWidth="1"/>
    <col min="12545" max="12545" width="18.5703125" customWidth="1"/>
    <col min="12546" max="12546" width="6.42578125" customWidth="1"/>
    <col min="12547" max="12547" width="9" customWidth="1"/>
    <col min="12548" max="12552" width="7.140625" customWidth="1"/>
    <col min="12553" max="12582" width="8.7109375" customWidth="1"/>
    <col min="12583" max="12583" width="6.42578125" customWidth="1"/>
    <col min="12794" max="12794" width="71.5703125" customWidth="1"/>
    <col min="12795" max="12795" width="18.85546875" customWidth="1"/>
    <col min="12796" max="12796" width="18.42578125" customWidth="1"/>
    <col min="12797" max="12797" width="0" hidden="1" customWidth="1"/>
    <col min="12798" max="12798" width="18.42578125" customWidth="1"/>
    <col min="12799" max="12800" width="0" hidden="1" customWidth="1"/>
    <col min="12801" max="12801" width="18.5703125" customWidth="1"/>
    <col min="12802" max="12802" width="6.42578125" customWidth="1"/>
    <col min="12803" max="12803" width="9" customWidth="1"/>
    <col min="12804" max="12808" width="7.140625" customWidth="1"/>
    <col min="12809" max="12838" width="8.7109375" customWidth="1"/>
    <col min="12839" max="12839" width="6.42578125" customWidth="1"/>
    <col min="13050" max="13050" width="71.5703125" customWidth="1"/>
    <col min="13051" max="13051" width="18.85546875" customWidth="1"/>
    <col min="13052" max="13052" width="18.42578125" customWidth="1"/>
    <col min="13053" max="13053" width="0" hidden="1" customWidth="1"/>
    <col min="13054" max="13054" width="18.42578125" customWidth="1"/>
    <col min="13055" max="13056" width="0" hidden="1" customWidth="1"/>
    <col min="13057" max="13057" width="18.5703125" customWidth="1"/>
    <col min="13058" max="13058" width="6.42578125" customWidth="1"/>
    <col min="13059" max="13059" width="9" customWidth="1"/>
    <col min="13060" max="13064" width="7.140625" customWidth="1"/>
    <col min="13065" max="13094" width="8.7109375" customWidth="1"/>
    <col min="13095" max="13095" width="6.42578125" customWidth="1"/>
    <col min="13306" max="13306" width="71.5703125" customWidth="1"/>
    <col min="13307" max="13307" width="18.85546875" customWidth="1"/>
    <col min="13308" max="13308" width="18.42578125" customWidth="1"/>
    <col min="13309" max="13309" width="0" hidden="1" customWidth="1"/>
    <col min="13310" max="13310" width="18.42578125" customWidth="1"/>
    <col min="13311" max="13312" width="0" hidden="1" customWidth="1"/>
    <col min="13313" max="13313" width="18.5703125" customWidth="1"/>
    <col min="13314" max="13314" width="6.42578125" customWidth="1"/>
    <col min="13315" max="13315" width="9" customWidth="1"/>
    <col min="13316" max="13320" width="7.140625" customWidth="1"/>
    <col min="13321" max="13350" width="8.7109375" customWidth="1"/>
    <col min="13351" max="13351" width="6.42578125" customWidth="1"/>
    <col min="13562" max="13562" width="71.5703125" customWidth="1"/>
    <col min="13563" max="13563" width="18.85546875" customWidth="1"/>
    <col min="13564" max="13564" width="18.42578125" customWidth="1"/>
    <col min="13565" max="13565" width="0" hidden="1" customWidth="1"/>
    <col min="13566" max="13566" width="18.42578125" customWidth="1"/>
    <col min="13567" max="13568" width="0" hidden="1" customWidth="1"/>
    <col min="13569" max="13569" width="18.5703125" customWidth="1"/>
    <col min="13570" max="13570" width="6.42578125" customWidth="1"/>
    <col min="13571" max="13571" width="9" customWidth="1"/>
    <col min="13572" max="13576" width="7.140625" customWidth="1"/>
    <col min="13577" max="13606" width="8.7109375" customWidth="1"/>
    <col min="13607" max="13607" width="6.42578125" customWidth="1"/>
    <col min="13818" max="13818" width="71.5703125" customWidth="1"/>
    <col min="13819" max="13819" width="18.85546875" customWidth="1"/>
    <col min="13820" max="13820" width="18.42578125" customWidth="1"/>
    <col min="13821" max="13821" width="0" hidden="1" customWidth="1"/>
    <col min="13822" max="13822" width="18.42578125" customWidth="1"/>
    <col min="13823" max="13824" width="0" hidden="1" customWidth="1"/>
    <col min="13825" max="13825" width="18.5703125" customWidth="1"/>
    <col min="13826" max="13826" width="6.42578125" customWidth="1"/>
    <col min="13827" max="13827" width="9" customWidth="1"/>
    <col min="13828" max="13832" width="7.140625" customWidth="1"/>
    <col min="13833" max="13862" width="8.7109375" customWidth="1"/>
    <col min="13863" max="13863" width="6.42578125" customWidth="1"/>
    <col min="14074" max="14074" width="71.5703125" customWidth="1"/>
    <col min="14075" max="14075" width="18.85546875" customWidth="1"/>
    <col min="14076" max="14076" width="18.42578125" customWidth="1"/>
    <col min="14077" max="14077" width="0" hidden="1" customWidth="1"/>
    <col min="14078" max="14078" width="18.42578125" customWidth="1"/>
    <col min="14079" max="14080" width="0" hidden="1" customWidth="1"/>
    <col min="14081" max="14081" width="18.5703125" customWidth="1"/>
    <col min="14082" max="14082" width="6.42578125" customWidth="1"/>
    <col min="14083" max="14083" width="9" customWidth="1"/>
    <col min="14084" max="14088" width="7.140625" customWidth="1"/>
    <col min="14089" max="14118" width="8.7109375" customWidth="1"/>
    <col min="14119" max="14119" width="6.42578125" customWidth="1"/>
    <col min="14330" max="14330" width="71.5703125" customWidth="1"/>
    <col min="14331" max="14331" width="18.85546875" customWidth="1"/>
    <col min="14332" max="14332" width="18.42578125" customWidth="1"/>
    <col min="14333" max="14333" width="0" hidden="1" customWidth="1"/>
    <col min="14334" max="14334" width="18.42578125" customWidth="1"/>
    <col min="14335" max="14336" width="0" hidden="1" customWidth="1"/>
    <col min="14337" max="14337" width="18.5703125" customWidth="1"/>
    <col min="14338" max="14338" width="6.42578125" customWidth="1"/>
    <col min="14339" max="14339" width="9" customWidth="1"/>
    <col min="14340" max="14344" width="7.140625" customWidth="1"/>
    <col min="14345" max="14374" width="8.7109375" customWidth="1"/>
    <col min="14375" max="14375" width="6.42578125" customWidth="1"/>
    <col min="14586" max="14586" width="71.5703125" customWidth="1"/>
    <col min="14587" max="14587" width="18.85546875" customWidth="1"/>
    <col min="14588" max="14588" width="18.42578125" customWidth="1"/>
    <col min="14589" max="14589" width="0" hidden="1" customWidth="1"/>
    <col min="14590" max="14590" width="18.42578125" customWidth="1"/>
    <col min="14591" max="14592" width="0" hidden="1" customWidth="1"/>
    <col min="14593" max="14593" width="18.5703125" customWidth="1"/>
    <col min="14594" max="14594" width="6.42578125" customWidth="1"/>
    <col min="14595" max="14595" width="9" customWidth="1"/>
    <col min="14596" max="14600" width="7.140625" customWidth="1"/>
    <col min="14601" max="14630" width="8.7109375" customWidth="1"/>
    <col min="14631" max="14631" width="6.42578125" customWidth="1"/>
    <col min="14842" max="14842" width="71.5703125" customWidth="1"/>
    <col min="14843" max="14843" width="18.85546875" customWidth="1"/>
    <col min="14844" max="14844" width="18.42578125" customWidth="1"/>
    <col min="14845" max="14845" width="0" hidden="1" customWidth="1"/>
    <col min="14846" max="14846" width="18.42578125" customWidth="1"/>
    <col min="14847" max="14848" width="0" hidden="1" customWidth="1"/>
    <col min="14849" max="14849" width="18.5703125" customWidth="1"/>
    <col min="14850" max="14850" width="6.42578125" customWidth="1"/>
    <col min="14851" max="14851" width="9" customWidth="1"/>
    <col min="14852" max="14856" width="7.140625" customWidth="1"/>
    <col min="14857" max="14886" width="8.7109375" customWidth="1"/>
    <col min="14887" max="14887" width="6.42578125" customWidth="1"/>
    <col min="15098" max="15098" width="71.5703125" customWidth="1"/>
    <col min="15099" max="15099" width="18.85546875" customWidth="1"/>
    <col min="15100" max="15100" width="18.42578125" customWidth="1"/>
    <col min="15101" max="15101" width="0" hidden="1" customWidth="1"/>
    <col min="15102" max="15102" width="18.42578125" customWidth="1"/>
    <col min="15103" max="15104" width="0" hidden="1" customWidth="1"/>
    <col min="15105" max="15105" width="18.5703125" customWidth="1"/>
    <col min="15106" max="15106" width="6.42578125" customWidth="1"/>
    <col min="15107" max="15107" width="9" customWidth="1"/>
    <col min="15108" max="15112" width="7.140625" customWidth="1"/>
    <col min="15113" max="15142" width="8.7109375" customWidth="1"/>
    <col min="15143" max="15143" width="6.42578125" customWidth="1"/>
    <col min="15354" max="15354" width="71.5703125" customWidth="1"/>
    <col min="15355" max="15355" width="18.85546875" customWidth="1"/>
    <col min="15356" max="15356" width="18.42578125" customWidth="1"/>
    <col min="15357" max="15357" width="0" hidden="1" customWidth="1"/>
    <col min="15358" max="15358" width="18.42578125" customWidth="1"/>
    <col min="15359" max="15360" width="0" hidden="1" customWidth="1"/>
    <col min="15361" max="15361" width="18.5703125" customWidth="1"/>
    <col min="15362" max="15362" width="6.42578125" customWidth="1"/>
    <col min="15363" max="15363" width="9" customWidth="1"/>
    <col min="15364" max="15368" width="7.140625" customWidth="1"/>
    <col min="15369" max="15398" width="8.7109375" customWidth="1"/>
    <col min="15399" max="15399" width="6.42578125" customWidth="1"/>
    <col min="15610" max="15610" width="71.5703125" customWidth="1"/>
    <col min="15611" max="15611" width="18.85546875" customWidth="1"/>
    <col min="15612" max="15612" width="18.42578125" customWidth="1"/>
    <col min="15613" max="15613" width="0" hidden="1" customWidth="1"/>
    <col min="15614" max="15614" width="18.42578125" customWidth="1"/>
    <col min="15615" max="15616" width="0" hidden="1" customWidth="1"/>
    <col min="15617" max="15617" width="18.5703125" customWidth="1"/>
    <col min="15618" max="15618" width="6.42578125" customWidth="1"/>
    <col min="15619" max="15619" width="9" customWidth="1"/>
    <col min="15620" max="15624" width="7.140625" customWidth="1"/>
    <col min="15625" max="15654" width="8.7109375" customWidth="1"/>
    <col min="15655" max="15655" width="6.42578125" customWidth="1"/>
    <col min="15866" max="15866" width="71.5703125" customWidth="1"/>
    <col min="15867" max="15867" width="18.85546875" customWidth="1"/>
    <col min="15868" max="15868" width="18.42578125" customWidth="1"/>
    <col min="15869" max="15869" width="0" hidden="1" customWidth="1"/>
    <col min="15870" max="15870" width="18.42578125" customWidth="1"/>
    <col min="15871" max="15872" width="0" hidden="1" customWidth="1"/>
    <col min="15873" max="15873" width="18.5703125" customWidth="1"/>
    <col min="15874" max="15874" width="6.42578125" customWidth="1"/>
    <col min="15875" max="15875" width="9" customWidth="1"/>
    <col min="15876" max="15880" width="7.140625" customWidth="1"/>
    <col min="15881" max="15910" width="8.7109375" customWidth="1"/>
    <col min="15911" max="15911" width="6.42578125" customWidth="1"/>
    <col min="16122" max="16122" width="71.5703125" customWidth="1"/>
    <col min="16123" max="16123" width="18.85546875" customWidth="1"/>
    <col min="16124" max="16124" width="18.42578125" customWidth="1"/>
    <col min="16125" max="16125" width="0" hidden="1" customWidth="1"/>
    <col min="16126" max="16126" width="18.42578125" customWidth="1"/>
    <col min="16127" max="16128" width="0" hidden="1" customWidth="1"/>
    <col min="16129" max="16129" width="18.5703125" customWidth="1"/>
    <col min="16130" max="16130" width="6.42578125" customWidth="1"/>
    <col min="16131" max="16131" width="9" customWidth="1"/>
    <col min="16132" max="16136" width="7.140625" customWidth="1"/>
    <col min="16137" max="16166" width="8.7109375" customWidth="1"/>
    <col min="16167" max="16167" width="6.42578125" customWidth="1"/>
  </cols>
  <sheetData>
    <row r="1" spans="1:7" ht="33" customHeight="1" x14ac:dyDescent="0.25">
      <c r="A1" s="781" t="s">
        <v>682</v>
      </c>
      <c r="B1" s="781"/>
      <c r="C1" s="781"/>
      <c r="D1" s="781"/>
    </row>
    <row r="2" spans="1:7" ht="18.75" customHeight="1" x14ac:dyDescent="0.25">
      <c r="A2" s="287" t="s">
        <v>567</v>
      </c>
      <c r="B2" s="288" t="str">
        <f>Plod.24!G4</f>
        <v>2024/2025</v>
      </c>
      <c r="C2" s="778" t="s">
        <v>588</v>
      </c>
      <c r="D2" s="778"/>
    </row>
    <row r="3" spans="1:7" ht="15" customHeight="1" x14ac:dyDescent="0.25">
      <c r="A3" s="779" t="s">
        <v>666</v>
      </c>
      <c r="B3" s="780"/>
      <c r="C3" s="782" t="s">
        <v>589</v>
      </c>
      <c r="D3" s="785" t="s">
        <v>240</v>
      </c>
    </row>
    <row r="4" spans="1:7" ht="43.5" customHeight="1" x14ac:dyDescent="0.25">
      <c r="A4" s="779"/>
      <c r="B4" s="780"/>
      <c r="C4" s="783"/>
      <c r="D4" s="785"/>
    </row>
    <row r="5" spans="1:7" ht="18.75" customHeight="1" x14ac:dyDescent="0.25">
      <c r="A5" s="779"/>
      <c r="B5" s="780"/>
      <c r="C5" s="784"/>
      <c r="D5" s="307" t="s">
        <v>584</v>
      </c>
    </row>
    <row r="6" spans="1:7" ht="21" customHeight="1" x14ac:dyDescent="0.25">
      <c r="A6" s="779"/>
      <c r="B6" s="780"/>
      <c r="C6" s="306" t="s">
        <v>585</v>
      </c>
      <c r="D6" s="302"/>
    </row>
    <row r="7" spans="1:7" ht="21" customHeight="1" x14ac:dyDescent="0.35">
      <c r="A7" s="779"/>
      <c r="B7" s="780"/>
      <c r="C7" s="306" t="s">
        <v>586</v>
      </c>
      <c r="D7" s="302"/>
    </row>
    <row r="8" spans="1:7" ht="21" customHeight="1" x14ac:dyDescent="0.35">
      <c r="A8" s="779"/>
      <c r="B8" s="780"/>
      <c r="C8" s="306" t="s">
        <v>587</v>
      </c>
      <c r="D8" s="302"/>
    </row>
    <row r="9" spans="1:7" x14ac:dyDescent="0.25">
      <c r="A9" s="303"/>
      <c r="B9" s="1"/>
      <c r="C9" s="304"/>
    </row>
    <row r="10" spans="1:7" x14ac:dyDescent="0.25">
      <c r="A10" s="713" t="str">
        <f>Plod.24!B83</f>
        <v>Verze 1 (15. 4. 2025); kontakty (CARC): www.carc.cz, Ing. Jan Klír, CSc. (603 520 684; jan.klir@carc.cz), Ing. Lada Kozlovská (733 375 632; lada.kozlovska@carc.cz)</v>
      </c>
      <c r="B10" s="713"/>
      <c r="C10" s="713"/>
      <c r="D10" s="713"/>
      <c r="E10" s="713"/>
      <c r="F10" s="713"/>
      <c r="G10" s="713"/>
    </row>
    <row r="21" spans="12:13" x14ac:dyDescent="0.25">
      <c r="L21" cm="1">
        <f t="array" ref="L21:M21">+'M.24-25ev'!K17:L17</f>
        <v>0</v>
      </c>
      <c r="M21">
        <v>0</v>
      </c>
    </row>
  </sheetData>
  <sheetProtection algorithmName="SHA-512" hashValue="zOKd7HquC06R23se+wlJ4D+kQ/rEKioOrhcxLZeFiZ+xyQB0cQHtiKljVW5r/9PtiN+qtIaNBZK0y0+IjrdHfg==" saltValue="ttbJkMhTEmXt0S0dkwiRIA==" spinCount="100000" sheet="1" objects="1" scenarios="1" formatCells="0" formatColumns="0" formatRows="0" selectLockedCells="1"/>
  <mergeCells count="6">
    <mergeCell ref="C2:D2"/>
    <mergeCell ref="A3:B8"/>
    <mergeCell ref="A1:D1"/>
    <mergeCell ref="A10:G10"/>
    <mergeCell ref="C3:C5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9C0A-5658-4DCF-A280-5CA29B9E3FD6}">
  <sheetPr>
    <tabColor theme="2" tint="-0.249977111117893"/>
  </sheetPr>
  <dimension ref="A1:T106"/>
  <sheetViews>
    <sheetView showGridLines="0" showZeros="0" zoomScale="90" zoomScaleNormal="90" workbookViewId="0">
      <pane ySplit="4" topLeftCell="A5" activePane="bottomLeft" state="frozen"/>
      <selection pane="bottomLeft" activeCell="B53" sqref="B53:B59"/>
    </sheetView>
  </sheetViews>
  <sheetFormatPr defaultRowHeight="15" x14ac:dyDescent="0.25"/>
  <cols>
    <col min="1" max="1" width="82.7109375" customWidth="1"/>
    <col min="2" max="2" width="19" customWidth="1"/>
    <col min="3" max="13" width="11" customWidth="1"/>
    <col min="14" max="14" width="2.42578125" customWidth="1"/>
    <col min="15" max="17" width="9.140625" customWidth="1"/>
  </cols>
  <sheetData>
    <row r="1" spans="1:20" ht="42" customHeight="1" x14ac:dyDescent="0.25">
      <c r="A1" s="289" t="s">
        <v>568</v>
      </c>
      <c r="B1" s="570" t="str">
        <f>Plod.24!G4</f>
        <v>2024/2025</v>
      </c>
      <c r="C1" s="792" t="s">
        <v>241</v>
      </c>
      <c r="D1" s="793"/>
      <c r="E1" s="793"/>
      <c r="F1" s="793"/>
      <c r="G1" s="794" t="s">
        <v>243</v>
      </c>
      <c r="H1" s="794"/>
      <c r="I1" s="794"/>
      <c r="J1" s="795"/>
      <c r="K1" s="786"/>
      <c r="L1" s="786"/>
      <c r="M1" s="786"/>
      <c r="N1" s="175"/>
      <c r="O1" s="176"/>
      <c r="P1" s="176"/>
      <c r="Q1" s="176"/>
      <c r="R1" s="174"/>
      <c r="S1" s="174"/>
      <c r="T1" s="174"/>
    </row>
    <row r="2" spans="1:20" ht="39" customHeight="1" x14ac:dyDescent="0.25">
      <c r="A2" s="799" t="s">
        <v>667</v>
      </c>
      <c r="B2" s="806" t="s">
        <v>240</v>
      </c>
      <c r="C2" s="802" t="s">
        <v>93</v>
      </c>
      <c r="D2" s="801" t="s">
        <v>264</v>
      </c>
      <c r="E2" s="801"/>
      <c r="F2" s="801"/>
      <c r="G2" s="796" t="s">
        <v>93</v>
      </c>
      <c r="H2" s="798" t="s">
        <v>264</v>
      </c>
      <c r="I2" s="798"/>
      <c r="J2" s="798"/>
      <c r="K2" s="787" t="s">
        <v>247</v>
      </c>
      <c r="L2" s="787"/>
      <c r="M2" s="787"/>
      <c r="N2" s="13"/>
      <c r="O2" s="13"/>
      <c r="P2" s="13"/>
      <c r="Q2" s="13"/>
    </row>
    <row r="3" spans="1:20" ht="25.5" customHeight="1" x14ac:dyDescent="0.25">
      <c r="A3" s="800"/>
      <c r="B3" s="806"/>
      <c r="C3" s="803"/>
      <c r="D3" s="95" t="s">
        <v>1</v>
      </c>
      <c r="E3" s="95" t="s">
        <v>31</v>
      </c>
      <c r="F3" s="95" t="s">
        <v>32</v>
      </c>
      <c r="G3" s="797"/>
      <c r="H3" s="128" t="s">
        <v>1</v>
      </c>
      <c r="I3" s="128" t="s">
        <v>31</v>
      </c>
      <c r="J3" s="128" t="s">
        <v>32</v>
      </c>
      <c r="K3" s="129" t="s">
        <v>1</v>
      </c>
      <c r="L3" s="129" t="s">
        <v>31</v>
      </c>
      <c r="M3" s="129" t="s">
        <v>32</v>
      </c>
      <c r="N3" s="13"/>
      <c r="O3" s="13"/>
      <c r="P3" s="13"/>
      <c r="Q3" s="13"/>
    </row>
    <row r="4" spans="1:20" ht="25.5" customHeight="1" x14ac:dyDescent="0.25">
      <c r="A4" s="800"/>
      <c r="B4" s="130" t="s">
        <v>29</v>
      </c>
      <c r="C4" s="131" t="s">
        <v>9</v>
      </c>
      <c r="D4" s="804" t="s">
        <v>101</v>
      </c>
      <c r="E4" s="805"/>
      <c r="F4" s="805"/>
      <c r="G4" s="132" t="s">
        <v>9</v>
      </c>
      <c r="H4" s="789" t="s">
        <v>101</v>
      </c>
      <c r="I4" s="790"/>
      <c r="J4" s="790"/>
      <c r="K4" s="133" t="s">
        <v>29</v>
      </c>
      <c r="L4" s="133" t="s">
        <v>29</v>
      </c>
      <c r="M4" s="133" t="s">
        <v>29</v>
      </c>
      <c r="N4" s="13"/>
      <c r="O4" s="13"/>
      <c r="P4" s="13"/>
      <c r="Q4" s="13"/>
    </row>
    <row r="5" spans="1:20" ht="16.5" customHeight="1" x14ac:dyDescent="0.25">
      <c r="A5" s="134" t="s">
        <v>112</v>
      </c>
      <c r="B5" s="135"/>
      <c r="C5" s="788" t="s">
        <v>242</v>
      </c>
      <c r="D5" s="788"/>
      <c r="E5" s="788"/>
      <c r="F5" s="788"/>
      <c r="G5" s="788" t="s">
        <v>243</v>
      </c>
      <c r="H5" s="788"/>
      <c r="I5" s="788"/>
      <c r="J5" s="788"/>
      <c r="K5" s="136"/>
      <c r="L5" s="136"/>
      <c r="M5" s="136"/>
      <c r="N5" s="13"/>
      <c r="O5" s="13"/>
      <c r="P5" s="13"/>
      <c r="Q5" s="13"/>
    </row>
    <row r="6" spans="1:20" ht="16.5" customHeight="1" x14ac:dyDescent="0.25">
      <c r="A6" s="137" t="s">
        <v>113</v>
      </c>
      <c r="B6" s="173"/>
      <c r="C6" s="138">
        <v>0.22</v>
      </c>
      <c r="D6" s="139">
        <v>6.5</v>
      </c>
      <c r="E6" s="139">
        <v>3.2</v>
      </c>
      <c r="F6" s="139">
        <v>7.6</v>
      </c>
      <c r="G6" s="122"/>
      <c r="H6" s="113"/>
      <c r="I6" s="113"/>
      <c r="J6" s="113"/>
      <c r="K6" s="140">
        <f>IF(H6=0,$B6*D6/1000,$B6*H6/1000)</f>
        <v>0</v>
      </c>
      <c r="L6" s="140">
        <f>IF(I6=0,$B6*E6/1000,$B6*I6/1000)</f>
        <v>0</v>
      </c>
      <c r="M6" s="140">
        <f>IF(J6=0,$B6*F6/1000,$B6*J6/1000)</f>
        <v>0</v>
      </c>
      <c r="N6" s="13"/>
      <c r="O6" s="13"/>
      <c r="P6" s="13"/>
      <c r="Q6" s="13"/>
    </row>
    <row r="7" spans="1:20" ht="16.5" customHeight="1" x14ac:dyDescent="0.25">
      <c r="A7" s="137" t="s">
        <v>114</v>
      </c>
      <c r="B7" s="173"/>
      <c r="C7" s="138">
        <v>0.22</v>
      </c>
      <c r="D7" s="139">
        <v>6.9</v>
      </c>
      <c r="E7" s="139">
        <v>3.2</v>
      </c>
      <c r="F7" s="139">
        <v>7.6</v>
      </c>
      <c r="G7" s="122"/>
      <c r="H7" s="113"/>
      <c r="I7" s="113"/>
      <c r="J7" s="113"/>
      <c r="K7" s="140">
        <f t="shared" ref="K7:K41" si="0">IF(H7=0,$B7*D7/1000,$B7*H7/1000)</f>
        <v>0</v>
      </c>
      <c r="L7" s="140">
        <f t="shared" ref="L7:L41" si="1">IF(I7=0,$B7*E7/1000,$B7*I7/1000)</f>
        <v>0</v>
      </c>
      <c r="M7" s="140">
        <f t="shared" ref="M7:M41" si="2">IF(J7=0,$B7*F7/1000,$B7*J7/1000)</f>
        <v>0</v>
      </c>
      <c r="N7" s="13"/>
      <c r="O7" s="13"/>
      <c r="P7" s="13"/>
      <c r="Q7" s="13"/>
    </row>
    <row r="8" spans="1:20" ht="16.5" customHeight="1" x14ac:dyDescent="0.25">
      <c r="A8" s="141" t="s">
        <v>115</v>
      </c>
      <c r="B8" s="173"/>
      <c r="C8" s="138">
        <v>0.22</v>
      </c>
      <c r="D8" s="139">
        <v>6.7</v>
      </c>
      <c r="E8" s="139">
        <v>3.2</v>
      </c>
      <c r="F8" s="139">
        <v>7.6</v>
      </c>
      <c r="G8" s="122"/>
      <c r="H8" s="113"/>
      <c r="I8" s="113"/>
      <c r="J8" s="113"/>
      <c r="K8" s="140">
        <f t="shared" si="0"/>
        <v>0</v>
      </c>
      <c r="L8" s="140">
        <f t="shared" si="1"/>
        <v>0</v>
      </c>
      <c r="M8" s="140">
        <f t="shared" si="2"/>
        <v>0</v>
      </c>
      <c r="N8" s="13"/>
      <c r="O8" s="13"/>
      <c r="P8" s="13"/>
      <c r="Q8" s="13"/>
    </row>
    <row r="9" spans="1:20" ht="16.5" customHeight="1" x14ac:dyDescent="0.25">
      <c r="A9" s="137" t="s">
        <v>116</v>
      </c>
      <c r="B9" s="173"/>
      <c r="C9" s="138">
        <v>0.22</v>
      </c>
      <c r="D9" s="139">
        <v>5.6</v>
      </c>
      <c r="E9" s="139">
        <v>2.1</v>
      </c>
      <c r="F9" s="139">
        <v>5.7</v>
      </c>
      <c r="G9" s="122"/>
      <c r="H9" s="113"/>
      <c r="I9" s="113"/>
      <c r="J9" s="113"/>
      <c r="K9" s="140">
        <f t="shared" si="0"/>
        <v>0</v>
      </c>
      <c r="L9" s="140">
        <f t="shared" si="1"/>
        <v>0</v>
      </c>
      <c r="M9" s="140">
        <f t="shared" si="2"/>
        <v>0</v>
      </c>
      <c r="N9" s="13"/>
      <c r="O9" s="13"/>
      <c r="P9" s="13"/>
      <c r="Q9" s="13"/>
    </row>
    <row r="10" spans="1:20" ht="16.5" customHeight="1" x14ac:dyDescent="0.25">
      <c r="A10" s="137" t="s">
        <v>117</v>
      </c>
      <c r="B10" s="173"/>
      <c r="C10" s="138">
        <v>0.24</v>
      </c>
      <c r="D10" s="139">
        <v>5.2</v>
      </c>
      <c r="E10" s="139">
        <v>3.6</v>
      </c>
      <c r="F10" s="139">
        <v>5.5</v>
      </c>
      <c r="G10" s="122"/>
      <c r="H10" s="113"/>
      <c r="I10" s="113"/>
      <c r="J10" s="113"/>
      <c r="K10" s="140">
        <f t="shared" si="0"/>
        <v>0</v>
      </c>
      <c r="L10" s="140">
        <f t="shared" si="1"/>
        <v>0</v>
      </c>
      <c r="M10" s="140">
        <f t="shared" si="2"/>
        <v>0</v>
      </c>
      <c r="N10" s="13"/>
      <c r="O10" s="13"/>
      <c r="P10" s="13"/>
      <c r="Q10" s="13"/>
    </row>
    <row r="11" spans="1:20" ht="16.5" customHeight="1" x14ac:dyDescent="0.25">
      <c r="A11" s="137" t="s">
        <v>118</v>
      </c>
      <c r="B11" s="173"/>
      <c r="C11" s="138">
        <v>0.24</v>
      </c>
      <c r="D11" s="139">
        <v>7.8</v>
      </c>
      <c r="E11" s="139">
        <v>4.7</v>
      </c>
      <c r="F11" s="139">
        <v>5.5</v>
      </c>
      <c r="G11" s="122"/>
      <c r="H11" s="113"/>
      <c r="I11" s="113"/>
      <c r="J11" s="113"/>
      <c r="K11" s="140">
        <f t="shared" si="0"/>
        <v>0</v>
      </c>
      <c r="L11" s="140">
        <f t="shared" si="1"/>
        <v>0</v>
      </c>
      <c r="M11" s="140">
        <f t="shared" si="2"/>
        <v>0</v>
      </c>
      <c r="N11" s="13"/>
      <c r="O11" s="13"/>
      <c r="P11" s="13"/>
      <c r="Q11" s="13"/>
    </row>
    <row r="12" spans="1:20" ht="16.5" customHeight="1" x14ac:dyDescent="0.25">
      <c r="A12" s="137" t="s">
        <v>3</v>
      </c>
      <c r="B12" s="173"/>
      <c r="C12" s="138">
        <v>0.3</v>
      </c>
      <c r="D12" s="139">
        <v>5.2</v>
      </c>
      <c r="E12" s="139">
        <v>3.5</v>
      </c>
      <c r="F12" s="139">
        <v>8.6999999999999993</v>
      </c>
      <c r="G12" s="122"/>
      <c r="H12" s="113"/>
      <c r="I12" s="113"/>
      <c r="J12" s="113"/>
      <c r="K12" s="140">
        <f t="shared" si="0"/>
        <v>0</v>
      </c>
      <c r="L12" s="140">
        <f t="shared" si="1"/>
        <v>0</v>
      </c>
      <c r="M12" s="140">
        <f t="shared" si="2"/>
        <v>0</v>
      </c>
      <c r="N12" s="13"/>
      <c r="O12" s="13"/>
      <c r="P12" s="13"/>
      <c r="Q12" s="13"/>
    </row>
    <row r="13" spans="1:20" ht="16.5" customHeight="1" x14ac:dyDescent="0.25">
      <c r="A13" s="137" t="s">
        <v>4</v>
      </c>
      <c r="B13" s="173"/>
      <c r="C13" s="138">
        <v>0.32</v>
      </c>
      <c r="D13" s="139">
        <v>8.9</v>
      </c>
      <c r="E13" s="139">
        <v>5.4</v>
      </c>
      <c r="F13" s="139">
        <v>17.7</v>
      </c>
      <c r="G13" s="122"/>
      <c r="H13" s="113"/>
      <c r="I13" s="113"/>
      <c r="J13" s="113"/>
      <c r="K13" s="140">
        <f t="shared" si="0"/>
        <v>0</v>
      </c>
      <c r="L13" s="140">
        <f t="shared" si="1"/>
        <v>0</v>
      </c>
      <c r="M13" s="140">
        <f t="shared" si="2"/>
        <v>0</v>
      </c>
      <c r="N13" s="13"/>
      <c r="O13" s="13"/>
      <c r="P13" s="13"/>
      <c r="Q13" s="13"/>
    </row>
    <row r="14" spans="1:20" ht="16.5" customHeight="1" x14ac:dyDescent="0.25">
      <c r="A14" s="137" t="s">
        <v>128</v>
      </c>
      <c r="B14" s="173"/>
      <c r="C14" s="138">
        <v>0.28999999999999998</v>
      </c>
      <c r="D14" s="139">
        <v>7.9</v>
      </c>
      <c r="E14" s="139">
        <v>6.2</v>
      </c>
      <c r="F14" s="139">
        <v>10.4</v>
      </c>
      <c r="G14" s="122"/>
      <c r="H14" s="113"/>
      <c r="I14" s="113"/>
      <c r="J14" s="113"/>
      <c r="K14" s="140">
        <f t="shared" si="0"/>
        <v>0</v>
      </c>
      <c r="L14" s="140">
        <f t="shared" si="1"/>
        <v>0</v>
      </c>
      <c r="M14" s="140">
        <f t="shared" si="2"/>
        <v>0</v>
      </c>
      <c r="N14" s="13"/>
      <c r="O14" s="13"/>
      <c r="P14" s="13"/>
      <c r="Q14" s="13"/>
    </row>
    <row r="15" spans="1:20" ht="16.5" customHeight="1" x14ac:dyDescent="0.25">
      <c r="A15" s="137" t="s">
        <v>7</v>
      </c>
      <c r="B15" s="173"/>
      <c r="C15" s="138">
        <v>0.42</v>
      </c>
      <c r="D15" s="139">
        <v>20.399999999999999</v>
      </c>
      <c r="E15" s="139">
        <v>16</v>
      </c>
      <c r="F15" s="139">
        <v>12.2</v>
      </c>
      <c r="G15" s="122"/>
      <c r="H15" s="113"/>
      <c r="I15" s="113"/>
      <c r="J15" s="113"/>
      <c r="K15" s="140">
        <f t="shared" si="0"/>
        <v>0</v>
      </c>
      <c r="L15" s="140">
        <f t="shared" si="1"/>
        <v>0</v>
      </c>
      <c r="M15" s="140">
        <f t="shared" si="2"/>
        <v>0</v>
      </c>
      <c r="N15" s="13"/>
      <c r="O15" s="13"/>
      <c r="P15" s="13"/>
      <c r="Q15" s="13"/>
    </row>
    <row r="16" spans="1:20" ht="16.5" customHeight="1" x14ac:dyDescent="0.25">
      <c r="A16" s="137" t="s">
        <v>250</v>
      </c>
      <c r="B16" s="173"/>
      <c r="C16" s="142">
        <v>0</v>
      </c>
      <c r="D16" s="143"/>
      <c r="E16" s="143"/>
      <c r="F16" s="143"/>
      <c r="G16" s="122"/>
      <c r="H16" s="113"/>
      <c r="I16" s="113"/>
      <c r="J16" s="113"/>
      <c r="K16" s="140">
        <f t="shared" si="0"/>
        <v>0</v>
      </c>
      <c r="L16" s="140">
        <f t="shared" si="1"/>
        <v>0</v>
      </c>
      <c r="M16" s="140">
        <f t="shared" si="2"/>
        <v>0</v>
      </c>
      <c r="N16" s="13"/>
      <c r="O16" s="13"/>
      <c r="P16" s="13"/>
      <c r="Q16" s="13"/>
    </row>
    <row r="17" spans="1:17" ht="16.5" customHeight="1" x14ac:dyDescent="0.25">
      <c r="A17" s="137" t="s">
        <v>96</v>
      </c>
      <c r="B17" s="173"/>
      <c r="C17" s="138">
        <v>0.21</v>
      </c>
      <c r="D17" s="144">
        <v>4.2</v>
      </c>
      <c r="E17" s="144">
        <v>1.7</v>
      </c>
      <c r="F17" s="144">
        <v>2.5</v>
      </c>
      <c r="G17" s="122"/>
      <c r="H17" s="113"/>
      <c r="I17" s="113"/>
      <c r="J17" s="113"/>
      <c r="K17" s="140">
        <f t="shared" si="0"/>
        <v>0</v>
      </c>
      <c r="L17" s="140">
        <f t="shared" si="1"/>
        <v>0</v>
      </c>
      <c r="M17" s="140">
        <f t="shared" si="2"/>
        <v>0</v>
      </c>
      <c r="N17" s="13"/>
      <c r="O17" s="13"/>
      <c r="P17" s="13"/>
      <c r="Q17" s="13"/>
    </row>
    <row r="18" spans="1:17" ht="16.5" customHeight="1" x14ac:dyDescent="0.25">
      <c r="A18" s="137" t="s">
        <v>98</v>
      </c>
      <c r="B18" s="173"/>
      <c r="C18" s="138">
        <v>0.27</v>
      </c>
      <c r="D18" s="144">
        <v>6.3</v>
      </c>
      <c r="E18" s="144">
        <v>7.8</v>
      </c>
      <c r="F18" s="144">
        <v>2.9</v>
      </c>
      <c r="G18" s="122"/>
      <c r="H18" s="113"/>
      <c r="I18" s="113"/>
      <c r="J18" s="113"/>
      <c r="K18" s="140">
        <f t="shared" si="0"/>
        <v>0</v>
      </c>
      <c r="L18" s="140">
        <f t="shared" si="1"/>
        <v>0</v>
      </c>
      <c r="M18" s="140">
        <f t="shared" si="2"/>
        <v>0</v>
      </c>
      <c r="N18" s="13"/>
      <c r="O18" s="13"/>
      <c r="P18" s="13"/>
      <c r="Q18" s="13"/>
    </row>
    <row r="19" spans="1:17" ht="16.5" customHeight="1" x14ac:dyDescent="0.25">
      <c r="A19" s="137" t="s">
        <v>251</v>
      </c>
      <c r="B19" s="173"/>
      <c r="C19" s="142">
        <v>0</v>
      </c>
      <c r="D19" s="143"/>
      <c r="E19" s="143"/>
      <c r="F19" s="143"/>
      <c r="G19" s="122"/>
      <c r="H19" s="113"/>
      <c r="I19" s="113"/>
      <c r="J19" s="113"/>
      <c r="K19" s="140">
        <f t="shared" si="0"/>
        <v>0</v>
      </c>
      <c r="L19" s="140">
        <f t="shared" si="1"/>
        <v>0</v>
      </c>
      <c r="M19" s="140">
        <f t="shared" si="2"/>
        <v>0</v>
      </c>
      <c r="N19" s="13"/>
      <c r="O19" s="13"/>
      <c r="P19" s="13"/>
      <c r="Q19" s="13"/>
    </row>
    <row r="20" spans="1:17" ht="16.5" customHeight="1" x14ac:dyDescent="0.25">
      <c r="A20" s="145" t="s">
        <v>119</v>
      </c>
      <c r="B20" s="173"/>
      <c r="C20" s="138">
        <v>5.9000000000000004E-2</v>
      </c>
      <c r="D20" s="139">
        <v>3.7</v>
      </c>
      <c r="E20" s="139">
        <v>1.5</v>
      </c>
      <c r="F20" s="144">
        <v>3</v>
      </c>
      <c r="G20" s="122"/>
      <c r="H20" s="113"/>
      <c r="I20" s="113"/>
      <c r="J20" s="113"/>
      <c r="K20" s="140">
        <f t="shared" si="0"/>
        <v>0</v>
      </c>
      <c r="L20" s="140">
        <f t="shared" si="1"/>
        <v>0</v>
      </c>
      <c r="M20" s="140">
        <f t="shared" si="2"/>
        <v>0</v>
      </c>
      <c r="N20" s="13"/>
      <c r="O20" s="13"/>
      <c r="P20" s="13"/>
      <c r="Q20" s="13"/>
    </row>
    <row r="21" spans="1:17" ht="16.5" customHeight="1" x14ac:dyDescent="0.25">
      <c r="A21" s="145" t="s">
        <v>120</v>
      </c>
      <c r="B21" s="173"/>
      <c r="C21" s="138">
        <v>9.1999999999999998E-2</v>
      </c>
      <c r="D21" s="139">
        <v>3.9</v>
      </c>
      <c r="E21" s="139">
        <v>1.9</v>
      </c>
      <c r="F21" s="144">
        <v>3.8</v>
      </c>
      <c r="G21" s="122"/>
      <c r="H21" s="113"/>
      <c r="I21" s="113"/>
      <c r="J21" s="113"/>
      <c r="K21" s="140">
        <f t="shared" si="0"/>
        <v>0</v>
      </c>
      <c r="L21" s="140">
        <f t="shared" si="1"/>
        <v>0</v>
      </c>
      <c r="M21" s="140">
        <f t="shared" si="2"/>
        <v>0</v>
      </c>
      <c r="N21" s="13"/>
      <c r="O21" s="13"/>
      <c r="P21" s="13"/>
      <c r="Q21" s="13"/>
    </row>
    <row r="22" spans="1:17" ht="16.5" customHeight="1" x14ac:dyDescent="0.25">
      <c r="A22" s="145" t="s">
        <v>121</v>
      </c>
      <c r="B22" s="173"/>
      <c r="C22" s="138">
        <v>7.2000000000000008E-2</v>
      </c>
      <c r="D22" s="139">
        <v>3.8</v>
      </c>
      <c r="E22" s="139">
        <v>1.6</v>
      </c>
      <c r="F22" s="144">
        <v>3.1</v>
      </c>
      <c r="G22" s="122"/>
      <c r="H22" s="113"/>
      <c r="I22" s="113"/>
      <c r="J22" s="113"/>
      <c r="K22" s="140">
        <f t="shared" si="0"/>
        <v>0</v>
      </c>
      <c r="L22" s="140">
        <f t="shared" si="1"/>
        <v>0</v>
      </c>
      <c r="M22" s="140">
        <f t="shared" si="2"/>
        <v>0</v>
      </c>
      <c r="N22" s="13"/>
      <c r="O22" s="13"/>
      <c r="P22" s="13"/>
      <c r="Q22" s="13"/>
    </row>
    <row r="23" spans="1:17" ht="16.5" customHeight="1" x14ac:dyDescent="0.25">
      <c r="A23" s="146" t="s">
        <v>122</v>
      </c>
      <c r="B23" s="173"/>
      <c r="C23" s="138">
        <v>7.2999999999999995E-2</v>
      </c>
      <c r="D23" s="139">
        <v>3.9</v>
      </c>
      <c r="E23" s="139">
        <v>1.6</v>
      </c>
      <c r="F23" s="144">
        <v>3.1</v>
      </c>
      <c r="G23" s="122"/>
      <c r="H23" s="113"/>
      <c r="I23" s="113"/>
      <c r="J23" s="113"/>
      <c r="K23" s="140">
        <f t="shared" si="0"/>
        <v>0</v>
      </c>
      <c r="L23" s="140">
        <f t="shared" si="1"/>
        <v>0</v>
      </c>
      <c r="M23" s="140">
        <f t="shared" si="2"/>
        <v>0</v>
      </c>
      <c r="N23" s="13"/>
      <c r="O23" s="13"/>
      <c r="P23" s="13"/>
      <c r="Q23" s="13"/>
    </row>
    <row r="24" spans="1:17" ht="16.5" customHeight="1" x14ac:dyDescent="0.25">
      <c r="A24" s="145" t="s">
        <v>95</v>
      </c>
      <c r="B24" s="173"/>
      <c r="C24" s="138">
        <v>5.800000000000001E-2</v>
      </c>
      <c r="D24" s="139">
        <v>3.9</v>
      </c>
      <c r="E24" s="139">
        <v>1.6</v>
      </c>
      <c r="F24" s="144">
        <v>3.2</v>
      </c>
      <c r="G24" s="122"/>
      <c r="H24" s="113"/>
      <c r="I24" s="113"/>
      <c r="J24" s="113"/>
      <c r="K24" s="140">
        <f t="shared" si="0"/>
        <v>0</v>
      </c>
      <c r="L24" s="140">
        <f t="shared" si="1"/>
        <v>0</v>
      </c>
      <c r="M24" s="140">
        <f t="shared" si="2"/>
        <v>0</v>
      </c>
      <c r="N24" s="13"/>
      <c r="O24" s="13"/>
      <c r="P24" s="13"/>
      <c r="Q24" s="13"/>
    </row>
    <row r="25" spans="1:17" ht="16.5" customHeight="1" x14ac:dyDescent="0.25">
      <c r="A25" s="145" t="s">
        <v>123</v>
      </c>
      <c r="B25" s="173"/>
      <c r="C25" s="138">
        <v>4.7E-2</v>
      </c>
      <c r="D25" s="139">
        <v>2.9</v>
      </c>
      <c r="E25" s="139">
        <v>1.4</v>
      </c>
      <c r="F25" s="144">
        <v>2</v>
      </c>
      <c r="G25" s="122"/>
      <c r="H25" s="113"/>
      <c r="I25" s="113"/>
      <c r="J25" s="113"/>
      <c r="K25" s="140">
        <f t="shared" si="0"/>
        <v>0</v>
      </c>
      <c r="L25" s="140">
        <f t="shared" si="1"/>
        <v>0</v>
      </c>
      <c r="M25" s="140">
        <f t="shared" si="2"/>
        <v>0</v>
      </c>
      <c r="N25" s="13"/>
      <c r="O25" s="13"/>
      <c r="P25" s="13"/>
      <c r="Q25" s="13"/>
    </row>
    <row r="26" spans="1:17" ht="16.5" customHeight="1" x14ac:dyDescent="0.25">
      <c r="A26" s="145" t="s">
        <v>124</v>
      </c>
      <c r="B26" s="173"/>
      <c r="C26" s="138">
        <v>0.06</v>
      </c>
      <c r="D26" s="139">
        <v>4.5</v>
      </c>
      <c r="E26" s="139">
        <v>2.5</v>
      </c>
      <c r="F26" s="144">
        <v>2.6</v>
      </c>
      <c r="G26" s="122"/>
      <c r="H26" s="113"/>
      <c r="I26" s="113"/>
      <c r="J26" s="113"/>
      <c r="K26" s="140">
        <f t="shared" si="0"/>
        <v>0</v>
      </c>
      <c r="L26" s="140">
        <f t="shared" si="1"/>
        <v>0</v>
      </c>
      <c r="M26" s="140">
        <f t="shared" si="2"/>
        <v>0</v>
      </c>
      <c r="N26" s="13"/>
      <c r="O26" s="13"/>
      <c r="P26" s="13"/>
      <c r="Q26" s="13"/>
    </row>
    <row r="27" spans="1:17" ht="16.5" customHeight="1" x14ac:dyDescent="0.25">
      <c r="A27" s="145" t="s">
        <v>125</v>
      </c>
      <c r="B27" s="173"/>
      <c r="C27" s="138">
        <v>4.5999999999999999E-2</v>
      </c>
      <c r="D27" s="139">
        <v>3.6</v>
      </c>
      <c r="E27" s="139">
        <v>1.9</v>
      </c>
      <c r="F27" s="144">
        <v>1.5</v>
      </c>
      <c r="G27" s="122"/>
      <c r="H27" s="113"/>
      <c r="I27" s="113"/>
      <c r="J27" s="113"/>
      <c r="K27" s="140">
        <f t="shared" si="0"/>
        <v>0</v>
      </c>
      <c r="L27" s="140">
        <f t="shared" si="1"/>
        <v>0</v>
      </c>
      <c r="M27" s="140">
        <f t="shared" si="2"/>
        <v>0</v>
      </c>
      <c r="N27" s="13"/>
      <c r="O27" s="13"/>
      <c r="P27" s="13"/>
      <c r="Q27" s="13"/>
    </row>
    <row r="28" spans="1:17" ht="16.5" customHeight="1" x14ac:dyDescent="0.25">
      <c r="A28" s="146" t="s">
        <v>126</v>
      </c>
      <c r="B28" s="173"/>
      <c r="C28" s="138">
        <v>5.2999999999999999E-2</v>
      </c>
      <c r="D28" s="139">
        <v>4.0999999999999996</v>
      </c>
      <c r="E28" s="139">
        <v>2.4</v>
      </c>
      <c r="F28" s="144">
        <v>2.1</v>
      </c>
      <c r="G28" s="122"/>
      <c r="H28" s="113"/>
      <c r="I28" s="113"/>
      <c r="J28" s="113"/>
      <c r="K28" s="140">
        <f t="shared" si="0"/>
        <v>0</v>
      </c>
      <c r="L28" s="140">
        <f t="shared" si="1"/>
        <v>0</v>
      </c>
      <c r="M28" s="140">
        <f t="shared" si="2"/>
        <v>0</v>
      </c>
      <c r="N28" s="13"/>
      <c r="O28" s="13"/>
      <c r="P28" s="13"/>
      <c r="Q28" s="13"/>
    </row>
    <row r="29" spans="1:17" ht="16.5" customHeight="1" x14ac:dyDescent="0.25">
      <c r="A29" s="145" t="s">
        <v>97</v>
      </c>
      <c r="B29" s="173"/>
      <c r="C29" s="138">
        <v>3.4000000000000002E-2</v>
      </c>
      <c r="D29" s="139">
        <v>3.9</v>
      </c>
      <c r="E29" s="139">
        <v>1.9</v>
      </c>
      <c r="F29" s="144">
        <v>2</v>
      </c>
      <c r="G29" s="122"/>
      <c r="H29" s="113"/>
      <c r="I29" s="113"/>
      <c r="J29" s="113"/>
      <c r="K29" s="140">
        <f t="shared" si="0"/>
        <v>0</v>
      </c>
      <c r="L29" s="140">
        <f t="shared" si="1"/>
        <v>0</v>
      </c>
      <c r="M29" s="140">
        <f t="shared" si="2"/>
        <v>0</v>
      </c>
      <c r="N29" s="13"/>
      <c r="O29" s="13"/>
      <c r="P29" s="13"/>
      <c r="Q29" s="13"/>
    </row>
    <row r="30" spans="1:17" ht="16.5" customHeight="1" x14ac:dyDescent="0.25">
      <c r="A30" s="145" t="s">
        <v>129</v>
      </c>
      <c r="B30" s="173"/>
      <c r="C30" s="138">
        <v>0.18</v>
      </c>
      <c r="D30" s="139">
        <v>4.0999999999999996</v>
      </c>
      <c r="E30" s="139">
        <v>4.0999999999999996</v>
      </c>
      <c r="F30" s="144">
        <v>4.2</v>
      </c>
      <c r="G30" s="122"/>
      <c r="H30" s="113"/>
      <c r="I30" s="113"/>
      <c r="J30" s="113"/>
      <c r="K30" s="140">
        <f t="shared" si="0"/>
        <v>0</v>
      </c>
      <c r="L30" s="140">
        <f t="shared" si="1"/>
        <v>0</v>
      </c>
      <c r="M30" s="140">
        <f t="shared" si="2"/>
        <v>0</v>
      </c>
      <c r="N30" s="13"/>
      <c r="O30" s="13"/>
      <c r="P30" s="13"/>
      <c r="Q30" s="13"/>
    </row>
    <row r="31" spans="1:17" ht="16.5" customHeight="1" x14ac:dyDescent="0.25">
      <c r="A31" s="145" t="s">
        <v>249</v>
      </c>
      <c r="B31" s="173"/>
      <c r="C31" s="142">
        <v>0</v>
      </c>
      <c r="D31" s="143"/>
      <c r="E31" s="143"/>
      <c r="F31" s="143"/>
      <c r="G31" s="122"/>
      <c r="H31" s="113"/>
      <c r="I31" s="113"/>
      <c r="J31" s="113"/>
      <c r="K31" s="140">
        <f t="shared" si="0"/>
        <v>0</v>
      </c>
      <c r="L31" s="140">
        <f t="shared" si="1"/>
        <v>0</v>
      </c>
      <c r="M31" s="140">
        <f t="shared" si="2"/>
        <v>0</v>
      </c>
      <c r="N31" s="13"/>
      <c r="O31" s="13"/>
      <c r="P31" s="13"/>
      <c r="Q31" s="13"/>
    </row>
    <row r="32" spans="1:17" ht="16.5" customHeight="1" x14ac:dyDescent="0.25">
      <c r="A32" s="147" t="s">
        <v>108</v>
      </c>
      <c r="B32" s="173"/>
      <c r="C32" s="138">
        <v>1.3000000000000001E-2</v>
      </c>
      <c r="D32" s="144">
        <v>1.5</v>
      </c>
      <c r="E32" s="144">
        <v>0.2</v>
      </c>
      <c r="F32" s="144">
        <v>2.1</v>
      </c>
      <c r="G32" s="122"/>
      <c r="H32" s="113"/>
      <c r="I32" s="113"/>
      <c r="J32" s="113"/>
      <c r="K32" s="140">
        <f t="shared" si="0"/>
        <v>0</v>
      </c>
      <c r="L32" s="140">
        <f t="shared" si="1"/>
        <v>0</v>
      </c>
      <c r="M32" s="140">
        <f t="shared" si="2"/>
        <v>0</v>
      </c>
      <c r="N32" s="13"/>
      <c r="O32" s="13"/>
      <c r="P32" s="13"/>
      <c r="Q32" s="13"/>
    </row>
    <row r="33" spans="1:17" ht="16.5" customHeight="1" x14ac:dyDescent="0.25">
      <c r="A33" s="147" t="s">
        <v>109</v>
      </c>
      <c r="B33" s="173"/>
      <c r="C33" s="138">
        <v>1.2E-2</v>
      </c>
      <c r="D33" s="144">
        <v>2.1</v>
      </c>
      <c r="E33" s="144">
        <v>0.5</v>
      </c>
      <c r="F33" s="144">
        <v>2.1</v>
      </c>
      <c r="G33" s="122"/>
      <c r="H33" s="113"/>
      <c r="I33" s="113"/>
      <c r="J33" s="113"/>
      <c r="K33" s="140">
        <f t="shared" si="0"/>
        <v>0</v>
      </c>
      <c r="L33" s="140">
        <f t="shared" si="1"/>
        <v>0</v>
      </c>
      <c r="M33" s="140">
        <f t="shared" si="2"/>
        <v>0</v>
      </c>
      <c r="N33" s="13"/>
      <c r="O33" s="13"/>
      <c r="P33" s="13"/>
      <c r="Q33" s="13"/>
    </row>
    <row r="34" spans="1:17" ht="16.5" customHeight="1" x14ac:dyDescent="0.25">
      <c r="A34" s="147" t="s">
        <v>252</v>
      </c>
      <c r="B34" s="173"/>
      <c r="C34" s="142">
        <v>0</v>
      </c>
      <c r="D34" s="148"/>
      <c r="E34" s="143"/>
      <c r="F34" s="143"/>
      <c r="G34" s="122"/>
      <c r="H34" s="113"/>
      <c r="I34" s="113"/>
      <c r="J34" s="113"/>
      <c r="K34" s="140">
        <f t="shared" si="0"/>
        <v>0</v>
      </c>
      <c r="L34" s="140">
        <f t="shared" si="1"/>
        <v>0</v>
      </c>
      <c r="M34" s="140">
        <f t="shared" si="2"/>
        <v>0</v>
      </c>
      <c r="N34" s="13"/>
      <c r="O34" s="13"/>
      <c r="P34" s="13"/>
      <c r="Q34" s="13"/>
    </row>
    <row r="35" spans="1:17" ht="16.5" customHeight="1" x14ac:dyDescent="0.25">
      <c r="A35" s="149" t="s">
        <v>131</v>
      </c>
      <c r="B35" s="173"/>
      <c r="C35" s="138">
        <v>1.3000000000000001E-2</v>
      </c>
      <c r="D35" s="139">
        <v>1.5</v>
      </c>
      <c r="E35" s="144">
        <v>0.2</v>
      </c>
      <c r="F35" s="144">
        <v>2.1</v>
      </c>
      <c r="G35" s="122"/>
      <c r="H35" s="113"/>
      <c r="I35" s="113"/>
      <c r="J35" s="113"/>
      <c r="K35" s="140">
        <f t="shared" si="0"/>
        <v>0</v>
      </c>
      <c r="L35" s="140">
        <f t="shared" si="1"/>
        <v>0</v>
      </c>
      <c r="M35" s="140">
        <f t="shared" si="2"/>
        <v>0</v>
      </c>
      <c r="N35" s="13"/>
      <c r="O35" s="13"/>
      <c r="P35" s="13"/>
      <c r="Q35" s="13"/>
    </row>
    <row r="36" spans="1:17" ht="16.5" customHeight="1" x14ac:dyDescent="0.25">
      <c r="A36" s="149" t="s">
        <v>132</v>
      </c>
      <c r="B36" s="173"/>
      <c r="C36" s="138">
        <v>1.2E-2</v>
      </c>
      <c r="D36" s="139">
        <v>2.1</v>
      </c>
      <c r="E36" s="144">
        <v>0.5</v>
      </c>
      <c r="F36" s="144">
        <v>2.1</v>
      </c>
      <c r="G36" s="122"/>
      <c r="H36" s="113"/>
      <c r="I36" s="113"/>
      <c r="J36" s="113"/>
      <c r="K36" s="140">
        <f t="shared" si="0"/>
        <v>0</v>
      </c>
      <c r="L36" s="140">
        <f t="shared" si="1"/>
        <v>0</v>
      </c>
      <c r="M36" s="140">
        <f t="shared" si="2"/>
        <v>0</v>
      </c>
      <c r="N36" s="13"/>
      <c r="O36" s="13"/>
      <c r="P36" s="13"/>
      <c r="Q36" s="13"/>
    </row>
    <row r="37" spans="1:17" ht="16.5" customHeight="1" x14ac:dyDescent="0.25">
      <c r="A37" s="149" t="s">
        <v>253</v>
      </c>
      <c r="B37" s="173"/>
      <c r="C37" s="142">
        <v>0</v>
      </c>
      <c r="D37" s="143"/>
      <c r="E37" s="143"/>
      <c r="F37" s="143"/>
      <c r="G37" s="122"/>
      <c r="H37" s="113"/>
      <c r="I37" s="113"/>
      <c r="J37" s="113"/>
      <c r="K37" s="140">
        <f t="shared" si="0"/>
        <v>0</v>
      </c>
      <c r="L37" s="140">
        <f t="shared" si="1"/>
        <v>0</v>
      </c>
      <c r="M37" s="140">
        <f t="shared" si="2"/>
        <v>0</v>
      </c>
      <c r="N37" s="13"/>
      <c r="O37" s="13"/>
      <c r="P37" s="13"/>
      <c r="Q37" s="13"/>
    </row>
    <row r="38" spans="1:17" ht="16.5" customHeight="1" x14ac:dyDescent="0.25">
      <c r="A38" s="149" t="s">
        <v>130</v>
      </c>
      <c r="B38" s="173"/>
      <c r="C38" s="138">
        <v>2.1000000000000001E-2</v>
      </c>
      <c r="D38" s="144">
        <v>1.3</v>
      </c>
      <c r="E38" s="144">
        <v>0.7</v>
      </c>
      <c r="F38" s="144">
        <v>2.5</v>
      </c>
      <c r="G38" s="122"/>
      <c r="H38" s="113"/>
      <c r="I38" s="113"/>
      <c r="J38" s="113"/>
      <c r="K38" s="140">
        <f t="shared" si="0"/>
        <v>0</v>
      </c>
      <c r="L38" s="140">
        <f t="shared" si="1"/>
        <v>0</v>
      </c>
      <c r="M38" s="140">
        <f t="shared" si="2"/>
        <v>0</v>
      </c>
      <c r="N38" s="13"/>
      <c r="O38" s="13"/>
      <c r="P38" s="13"/>
      <c r="Q38" s="13"/>
    </row>
    <row r="39" spans="1:17" ht="16.5" customHeight="1" x14ac:dyDescent="0.25">
      <c r="A39" s="149" t="s">
        <v>127</v>
      </c>
      <c r="B39" s="173"/>
      <c r="C39" s="138">
        <v>0.28000000000000003</v>
      </c>
      <c r="D39" s="144">
        <v>18.5</v>
      </c>
      <c r="E39" s="144">
        <v>12.8</v>
      </c>
      <c r="F39" s="144">
        <v>8.9</v>
      </c>
      <c r="G39" s="122"/>
      <c r="H39" s="113"/>
      <c r="I39" s="113"/>
      <c r="J39" s="113"/>
      <c r="K39" s="140">
        <f t="shared" si="0"/>
        <v>0</v>
      </c>
      <c r="L39" s="140">
        <f t="shared" si="1"/>
        <v>0</v>
      </c>
      <c r="M39" s="140">
        <f t="shared" si="2"/>
        <v>0</v>
      </c>
      <c r="N39" s="13"/>
      <c r="O39" s="13"/>
      <c r="P39" s="13"/>
      <c r="Q39" s="13"/>
    </row>
    <row r="40" spans="1:17" ht="16.5" customHeight="1" x14ac:dyDescent="0.25">
      <c r="A40" s="149" t="s">
        <v>5</v>
      </c>
      <c r="B40" s="173"/>
      <c r="C40" s="138">
        <v>0.32</v>
      </c>
      <c r="D40" s="144">
        <v>19</v>
      </c>
      <c r="E40" s="144">
        <v>14.6</v>
      </c>
      <c r="F40" s="144">
        <v>10.199999999999999</v>
      </c>
      <c r="G40" s="122"/>
      <c r="H40" s="113"/>
      <c r="I40" s="113"/>
      <c r="J40" s="113"/>
      <c r="K40" s="140">
        <f t="shared" si="0"/>
        <v>0</v>
      </c>
      <c r="L40" s="140">
        <f t="shared" si="1"/>
        <v>0</v>
      </c>
      <c r="M40" s="140">
        <f t="shared" si="2"/>
        <v>0</v>
      </c>
      <c r="N40" s="13"/>
      <c r="O40" s="13"/>
      <c r="P40" s="13"/>
      <c r="Q40" s="13"/>
    </row>
    <row r="41" spans="1:17" ht="16.5" customHeight="1" x14ac:dyDescent="0.25">
      <c r="A41" s="149" t="s">
        <v>6</v>
      </c>
      <c r="B41" s="173"/>
      <c r="C41" s="138">
        <v>0.73</v>
      </c>
      <c r="D41" s="144">
        <v>35</v>
      </c>
      <c r="E41" s="144">
        <v>33.299999999999997</v>
      </c>
      <c r="F41" s="144">
        <v>23.2</v>
      </c>
      <c r="G41" s="122"/>
      <c r="H41" s="113"/>
      <c r="I41" s="113"/>
      <c r="J41" s="113"/>
      <c r="K41" s="140">
        <f t="shared" si="0"/>
        <v>0</v>
      </c>
      <c r="L41" s="140">
        <f t="shared" si="1"/>
        <v>0</v>
      </c>
      <c r="M41" s="140">
        <f t="shared" si="2"/>
        <v>0</v>
      </c>
      <c r="N41" s="13"/>
      <c r="O41" s="13"/>
      <c r="P41" s="13"/>
      <c r="Q41" s="13"/>
    </row>
    <row r="42" spans="1:17" ht="16.5" customHeight="1" x14ac:dyDescent="0.25">
      <c r="A42" s="150" t="s">
        <v>107</v>
      </c>
      <c r="B42" s="121">
        <f>SUM(B6:B41)</f>
        <v>0</v>
      </c>
      <c r="C42" s="151"/>
      <c r="D42" s="152"/>
      <c r="E42" s="152"/>
      <c r="F42" s="152"/>
      <c r="G42" s="153"/>
      <c r="H42" s="154"/>
      <c r="I42" s="154"/>
      <c r="J42" s="154"/>
      <c r="K42" s="155">
        <f>SUM(K6:K41)</f>
        <v>0</v>
      </c>
      <c r="L42" s="155">
        <f>SUM(L6:L41)</f>
        <v>0</v>
      </c>
      <c r="M42" s="155">
        <f>SUM(M6:M41)</f>
        <v>0</v>
      </c>
      <c r="N42" s="13"/>
      <c r="O42" s="13"/>
      <c r="P42" s="13"/>
      <c r="Q42" s="13"/>
    </row>
    <row r="43" spans="1:17" ht="16.5" customHeight="1" x14ac:dyDescent="0.25">
      <c r="A43" s="248" t="s">
        <v>379</v>
      </c>
      <c r="B43" s="249">
        <f>HZ!K3</f>
        <v>0</v>
      </c>
      <c r="C43" s="143"/>
      <c r="D43" s="144">
        <v>4.9000000000000004</v>
      </c>
      <c r="E43" s="144">
        <v>2.1</v>
      </c>
      <c r="F43" s="144">
        <v>4.2</v>
      </c>
      <c r="G43" s="156"/>
      <c r="H43" s="156"/>
      <c r="I43" s="156"/>
      <c r="J43" s="156"/>
      <c r="K43" s="140">
        <f t="shared" ref="K43:M50" si="3">$B43*D43/1000</f>
        <v>0</v>
      </c>
      <c r="L43" s="140">
        <f t="shared" si="3"/>
        <v>0</v>
      </c>
      <c r="M43" s="140">
        <f t="shared" si="3"/>
        <v>0</v>
      </c>
      <c r="N43" s="13"/>
      <c r="O43" s="13"/>
      <c r="P43" s="13"/>
      <c r="Q43" s="13"/>
    </row>
    <row r="44" spans="1:17" ht="16.5" customHeight="1" x14ac:dyDescent="0.25">
      <c r="A44" s="248" t="s">
        <v>380</v>
      </c>
      <c r="B44" s="249">
        <f>HZ!K12</f>
        <v>0</v>
      </c>
      <c r="C44" s="143"/>
      <c r="D44" s="144">
        <v>8.1999999999999993</v>
      </c>
      <c r="E44" s="144">
        <v>2.6</v>
      </c>
      <c r="F44" s="144">
        <v>6.6</v>
      </c>
      <c r="G44" s="156"/>
      <c r="H44" s="156"/>
      <c r="I44" s="156"/>
      <c r="J44" s="156"/>
      <c r="K44" s="140">
        <f t="shared" si="3"/>
        <v>0</v>
      </c>
      <c r="L44" s="140">
        <f t="shared" si="3"/>
        <v>0</v>
      </c>
      <c r="M44" s="140">
        <f t="shared" si="3"/>
        <v>0</v>
      </c>
      <c r="N44" s="13"/>
      <c r="O44" s="13"/>
      <c r="P44" s="13"/>
      <c r="Q44" s="13"/>
    </row>
    <row r="45" spans="1:17" ht="16.5" customHeight="1" x14ac:dyDescent="0.25">
      <c r="A45" s="248" t="s">
        <v>381</v>
      </c>
      <c r="B45" s="249">
        <f>HZ!K15+HZ!K20</f>
        <v>0</v>
      </c>
      <c r="C45" s="143"/>
      <c r="D45" s="144">
        <v>4.7</v>
      </c>
      <c r="E45" s="144">
        <v>2.2999999999999998</v>
      </c>
      <c r="F45" s="144">
        <v>3.5</v>
      </c>
      <c r="G45" s="156"/>
      <c r="H45" s="156"/>
      <c r="I45" s="156"/>
      <c r="J45" s="156"/>
      <c r="K45" s="140">
        <f t="shared" si="3"/>
        <v>0</v>
      </c>
      <c r="L45" s="140">
        <f t="shared" si="3"/>
        <v>0</v>
      </c>
      <c r="M45" s="140">
        <f t="shared" si="3"/>
        <v>0</v>
      </c>
      <c r="N45" s="13"/>
      <c r="O45" s="13"/>
      <c r="P45" s="13"/>
      <c r="Q45" s="13"/>
    </row>
    <row r="46" spans="1:17" ht="16.5" customHeight="1" x14ac:dyDescent="0.25">
      <c r="A46" s="248" t="s">
        <v>382</v>
      </c>
      <c r="B46" s="249">
        <f>HZ!K25</f>
        <v>0</v>
      </c>
      <c r="C46" s="143"/>
      <c r="D46" s="144">
        <v>4.9000000000000004</v>
      </c>
      <c r="E46" s="144">
        <v>2.6</v>
      </c>
      <c r="F46" s="144">
        <v>6.6</v>
      </c>
      <c r="G46" s="156"/>
      <c r="H46" s="156"/>
      <c r="I46" s="156"/>
      <c r="J46" s="156"/>
      <c r="K46" s="140">
        <f t="shared" si="3"/>
        <v>0</v>
      </c>
      <c r="L46" s="140">
        <f t="shared" si="3"/>
        <v>0</v>
      </c>
      <c r="M46" s="140">
        <f t="shared" si="3"/>
        <v>0</v>
      </c>
      <c r="N46" s="13"/>
      <c r="O46" s="13"/>
      <c r="P46" s="13"/>
      <c r="Q46" s="13"/>
    </row>
    <row r="47" spans="1:17" ht="16.5" customHeight="1" x14ac:dyDescent="0.25">
      <c r="A47" s="248" t="s">
        <v>383</v>
      </c>
      <c r="B47" s="249">
        <f>HZ!K27</f>
        <v>0</v>
      </c>
      <c r="C47" s="143"/>
      <c r="D47" s="144">
        <v>2.9</v>
      </c>
      <c r="E47" s="144">
        <v>2.7</v>
      </c>
      <c r="F47" s="144">
        <v>7.5</v>
      </c>
      <c r="G47" s="156"/>
      <c r="H47" s="156"/>
      <c r="I47" s="156"/>
      <c r="J47" s="156"/>
      <c r="K47" s="140">
        <f t="shared" si="3"/>
        <v>0</v>
      </c>
      <c r="L47" s="140">
        <f t="shared" si="3"/>
        <v>0</v>
      </c>
      <c r="M47" s="140">
        <f t="shared" si="3"/>
        <v>0</v>
      </c>
      <c r="N47" s="13"/>
      <c r="O47" s="13"/>
      <c r="P47" s="13"/>
      <c r="Q47" s="13"/>
    </row>
    <row r="48" spans="1:17" ht="16.5" customHeight="1" x14ac:dyDescent="0.25">
      <c r="A48" s="248" t="s">
        <v>384</v>
      </c>
      <c r="B48" s="249">
        <f>HZ!K31</f>
        <v>0</v>
      </c>
      <c r="C48" s="143"/>
      <c r="D48" s="144">
        <v>5</v>
      </c>
      <c r="E48" s="144">
        <v>3</v>
      </c>
      <c r="F48" s="144">
        <v>2.2999999999999998</v>
      </c>
      <c r="G48" s="156"/>
      <c r="H48" s="156"/>
      <c r="I48" s="156"/>
      <c r="J48" s="156"/>
      <c r="K48" s="140">
        <f>$B48*D48/1000</f>
        <v>0</v>
      </c>
      <c r="L48" s="140">
        <f>$B48*E48/1000</f>
        <v>0</v>
      </c>
      <c r="M48" s="140">
        <f>$B48*F48/1000</f>
        <v>0</v>
      </c>
      <c r="N48" s="13"/>
      <c r="O48" s="13"/>
      <c r="P48" s="13"/>
      <c r="Q48" s="13"/>
    </row>
    <row r="49" spans="1:17" ht="16.5" customHeight="1" x14ac:dyDescent="0.25">
      <c r="A49" s="248" t="s">
        <v>385</v>
      </c>
      <c r="B49" s="249">
        <f>HZ!K37</f>
        <v>0</v>
      </c>
      <c r="C49" s="143"/>
      <c r="D49" s="250">
        <v>18.5</v>
      </c>
      <c r="E49" s="250">
        <v>12.8</v>
      </c>
      <c r="F49" s="250">
        <v>8.9</v>
      </c>
      <c r="G49" s="156"/>
      <c r="H49" s="156"/>
      <c r="I49" s="156"/>
      <c r="J49" s="156"/>
      <c r="K49" s="140">
        <f t="shared" ref="K49" si="4">$B49*D49/1000</f>
        <v>0</v>
      </c>
      <c r="L49" s="140">
        <f t="shared" ref="L49" si="5">$B49*E49/1000</f>
        <v>0</v>
      </c>
      <c r="M49" s="140">
        <f t="shared" ref="M49" si="6">$B49*F49/1000</f>
        <v>0</v>
      </c>
      <c r="N49" s="13"/>
      <c r="O49" s="13"/>
      <c r="P49" s="13"/>
      <c r="Q49" s="13"/>
    </row>
    <row r="50" spans="1:17" ht="16.5" customHeight="1" x14ac:dyDescent="0.25">
      <c r="A50" s="248" t="s">
        <v>551</v>
      </c>
      <c r="B50" s="249">
        <f>HZ!K51</f>
        <v>0</v>
      </c>
      <c r="C50" s="143"/>
      <c r="D50" s="250">
        <v>5</v>
      </c>
      <c r="E50" s="250">
        <v>2.5</v>
      </c>
      <c r="F50" s="250">
        <v>5</v>
      </c>
      <c r="G50" s="156"/>
      <c r="H50" s="156"/>
      <c r="I50" s="156"/>
      <c r="J50" s="156"/>
      <c r="K50" s="140">
        <f t="shared" si="3"/>
        <v>0</v>
      </c>
      <c r="L50" s="140">
        <f t="shared" si="3"/>
        <v>0</v>
      </c>
      <c r="M50" s="140">
        <f t="shared" si="3"/>
        <v>0</v>
      </c>
      <c r="N50" s="13"/>
      <c r="O50" s="13"/>
      <c r="P50" s="13"/>
      <c r="Q50" s="13"/>
    </row>
    <row r="51" spans="1:17" ht="16.5" customHeight="1" x14ac:dyDescent="0.25">
      <c r="A51" s="246" t="s">
        <v>386</v>
      </c>
      <c r="B51" s="247">
        <f>SUM(B43:B50)</f>
        <v>0</v>
      </c>
      <c r="C51" s="151"/>
      <c r="D51" s="152"/>
      <c r="E51" s="152"/>
      <c r="F51" s="152"/>
      <c r="G51" s="153"/>
      <c r="H51" s="154"/>
      <c r="I51" s="154"/>
      <c r="J51" s="154"/>
      <c r="K51" s="155">
        <f>SUM(K43:K50)</f>
        <v>0</v>
      </c>
      <c r="L51" s="155">
        <f>SUM(L43:L50)</f>
        <v>0</v>
      </c>
      <c r="M51" s="155">
        <f>SUM(M43:M50)</f>
        <v>0</v>
      </c>
      <c r="N51" s="13"/>
      <c r="O51" s="13"/>
      <c r="P51" s="13"/>
      <c r="Q51" s="13"/>
    </row>
    <row r="52" spans="1:17" ht="16.5" customHeight="1" x14ac:dyDescent="0.25">
      <c r="A52" s="157" t="s">
        <v>254</v>
      </c>
      <c r="B52" s="158"/>
      <c r="C52" s="788" t="s">
        <v>242</v>
      </c>
      <c r="D52" s="788"/>
      <c r="E52" s="788"/>
      <c r="F52" s="788"/>
      <c r="G52" s="788" t="s">
        <v>243</v>
      </c>
      <c r="H52" s="788"/>
      <c r="I52" s="788"/>
      <c r="J52" s="788"/>
      <c r="K52" s="159"/>
      <c r="L52" s="159"/>
      <c r="M52" s="159"/>
      <c r="N52" s="13"/>
      <c r="O52" s="13"/>
      <c r="P52" s="13"/>
      <c r="Q52" s="13"/>
    </row>
    <row r="53" spans="1:17" ht="16.5" customHeight="1" x14ac:dyDescent="0.25">
      <c r="A53" s="149" t="s">
        <v>206</v>
      </c>
      <c r="B53" s="173"/>
      <c r="C53" s="160">
        <v>0.4</v>
      </c>
      <c r="D53" s="139">
        <v>5.5</v>
      </c>
      <c r="E53" s="139">
        <v>4.5</v>
      </c>
      <c r="F53" s="139">
        <v>6.1</v>
      </c>
      <c r="G53" s="122"/>
      <c r="H53" s="113"/>
      <c r="I53" s="113"/>
      <c r="J53" s="113"/>
      <c r="K53" s="140">
        <f t="shared" ref="K53:M56" si="7">IF(H53=0,$B53*D53/1000,$B53*H53/1000)</f>
        <v>0</v>
      </c>
      <c r="L53" s="140">
        <f t="shared" si="7"/>
        <v>0</v>
      </c>
      <c r="M53" s="140">
        <f t="shared" si="7"/>
        <v>0</v>
      </c>
      <c r="N53" s="13"/>
      <c r="O53" s="13"/>
      <c r="P53" s="13"/>
      <c r="Q53" s="13"/>
    </row>
    <row r="54" spans="1:17" ht="16.5" customHeight="1" x14ac:dyDescent="0.25">
      <c r="A54" s="149" t="s">
        <v>58</v>
      </c>
      <c r="B54" s="173"/>
      <c r="C54" s="160">
        <v>6.5000000000000002E-2</v>
      </c>
      <c r="D54" s="139">
        <v>4.5</v>
      </c>
      <c r="E54" s="139">
        <v>1.4</v>
      </c>
      <c r="F54" s="139">
        <v>4.4000000000000004</v>
      </c>
      <c r="G54" s="122"/>
      <c r="H54" s="113"/>
      <c r="I54" s="113"/>
      <c r="J54" s="113"/>
      <c r="K54" s="140">
        <f t="shared" si="7"/>
        <v>0</v>
      </c>
      <c r="L54" s="140">
        <f t="shared" si="7"/>
        <v>0</v>
      </c>
      <c r="M54" s="140">
        <f t="shared" si="7"/>
        <v>0</v>
      </c>
      <c r="N54" s="13"/>
      <c r="O54" s="13"/>
      <c r="P54" s="13"/>
      <c r="Q54" s="13"/>
    </row>
    <row r="55" spans="1:17" ht="16.5" customHeight="1" x14ac:dyDescent="0.25">
      <c r="A55" s="149" t="s">
        <v>99</v>
      </c>
      <c r="B55" s="173"/>
      <c r="C55" s="160">
        <v>4.2999999999999997E-2</v>
      </c>
      <c r="D55" s="139">
        <v>4.2</v>
      </c>
      <c r="E55" s="139">
        <v>1.1000000000000001</v>
      </c>
      <c r="F55" s="139">
        <v>3.9</v>
      </c>
      <c r="G55" s="122"/>
      <c r="H55" s="113"/>
      <c r="I55" s="113"/>
      <c r="J55" s="113"/>
      <c r="K55" s="140">
        <f t="shared" si="7"/>
        <v>0</v>
      </c>
      <c r="L55" s="140">
        <f t="shared" si="7"/>
        <v>0</v>
      </c>
      <c r="M55" s="140">
        <f t="shared" si="7"/>
        <v>0</v>
      </c>
      <c r="N55" s="13"/>
      <c r="O55" s="13"/>
      <c r="P55" s="13"/>
      <c r="Q55" s="13"/>
    </row>
    <row r="56" spans="1:17" ht="16.5" customHeight="1" x14ac:dyDescent="0.25">
      <c r="A56" s="149" t="s">
        <v>100</v>
      </c>
      <c r="B56" s="173"/>
      <c r="C56" s="160">
        <v>0.23</v>
      </c>
      <c r="D56" s="139">
        <v>5.4</v>
      </c>
      <c r="E56" s="139">
        <v>4.9000000000000004</v>
      </c>
      <c r="F56" s="139">
        <v>5.5</v>
      </c>
      <c r="G56" s="122"/>
      <c r="H56" s="113"/>
      <c r="I56" s="113"/>
      <c r="J56" s="113"/>
      <c r="K56" s="140">
        <f t="shared" si="7"/>
        <v>0</v>
      </c>
      <c r="L56" s="140">
        <f t="shared" si="7"/>
        <v>0</v>
      </c>
      <c r="M56" s="140">
        <f t="shared" si="7"/>
        <v>0</v>
      </c>
      <c r="N56" s="13"/>
      <c r="O56" s="13"/>
      <c r="P56" s="13"/>
      <c r="Q56" s="13"/>
    </row>
    <row r="57" spans="1:17" ht="16.5" customHeight="1" x14ac:dyDescent="0.25">
      <c r="A57" s="257" t="s">
        <v>462</v>
      </c>
      <c r="B57" s="173"/>
      <c r="C57" s="143"/>
      <c r="D57" s="143"/>
      <c r="E57" s="143"/>
      <c r="F57" s="143"/>
      <c r="G57" s="122"/>
      <c r="H57" s="113"/>
      <c r="I57" s="113"/>
      <c r="J57" s="113"/>
      <c r="K57" s="140">
        <f>$B57*H57/1000</f>
        <v>0</v>
      </c>
      <c r="L57" s="140">
        <f>$B57*I57/1000</f>
        <v>0</v>
      </c>
      <c r="M57" s="140">
        <f>$B57*J57/1000</f>
        <v>0</v>
      </c>
      <c r="N57" s="13"/>
      <c r="O57" s="13"/>
      <c r="P57" s="13"/>
      <c r="Q57" s="13"/>
    </row>
    <row r="58" spans="1:17" ht="16.5" customHeight="1" x14ac:dyDescent="0.25">
      <c r="A58" s="257" t="s">
        <v>463</v>
      </c>
      <c r="B58" s="173"/>
      <c r="C58" s="143"/>
      <c r="D58" s="143"/>
      <c r="E58" s="143"/>
      <c r="F58" s="143"/>
      <c r="G58" s="122"/>
      <c r="H58" s="114"/>
      <c r="I58" s="113"/>
      <c r="J58" s="114"/>
      <c r="K58" s="140">
        <f t="shared" ref="K58:K64" si="8">$B58*H58/1000</f>
        <v>0</v>
      </c>
      <c r="L58" s="140">
        <f t="shared" ref="L58:L64" si="9">$B58*I58/1000</f>
        <v>0</v>
      </c>
      <c r="M58" s="140">
        <f t="shared" ref="M58:M64" si="10">$B58*J58/1000</f>
        <v>0</v>
      </c>
      <c r="N58" s="13"/>
      <c r="O58" s="13"/>
      <c r="P58" s="13"/>
      <c r="Q58" s="13"/>
    </row>
    <row r="59" spans="1:17" ht="16.5" customHeight="1" x14ac:dyDescent="0.25">
      <c r="A59" s="257" t="s">
        <v>464</v>
      </c>
      <c r="B59" s="173"/>
      <c r="C59" s="143"/>
      <c r="D59" s="143"/>
      <c r="E59" s="143"/>
      <c r="F59" s="143"/>
      <c r="G59" s="122"/>
      <c r="H59" s="113"/>
      <c r="I59" s="113"/>
      <c r="J59" s="113"/>
      <c r="K59" s="140">
        <f t="shared" si="8"/>
        <v>0</v>
      </c>
      <c r="L59" s="140">
        <f t="shared" si="9"/>
        <v>0</v>
      </c>
      <c r="M59" s="140">
        <f t="shared" si="10"/>
        <v>0</v>
      </c>
      <c r="N59" s="13"/>
      <c r="O59" s="13"/>
      <c r="P59" s="13"/>
      <c r="Q59" s="13"/>
    </row>
    <row r="60" spans="1:17" ht="16.5" customHeight="1" x14ac:dyDescent="0.25">
      <c r="A60" s="257" t="s">
        <v>465</v>
      </c>
      <c r="B60" s="173"/>
      <c r="C60" s="143"/>
      <c r="D60" s="143"/>
      <c r="E60" s="143"/>
      <c r="F60" s="143"/>
      <c r="G60" s="122"/>
      <c r="H60" s="113"/>
      <c r="I60" s="113"/>
      <c r="J60" s="113"/>
      <c r="K60" s="140">
        <f t="shared" si="8"/>
        <v>0</v>
      </c>
      <c r="L60" s="140">
        <f t="shared" si="9"/>
        <v>0</v>
      </c>
      <c r="M60" s="140">
        <f t="shared" si="10"/>
        <v>0</v>
      </c>
      <c r="N60" s="13"/>
      <c r="O60" s="13"/>
      <c r="P60" s="13"/>
      <c r="Q60" s="13"/>
    </row>
    <row r="61" spans="1:17" ht="16.5" customHeight="1" x14ac:dyDescent="0.25">
      <c r="A61" s="108" t="s">
        <v>255</v>
      </c>
      <c r="B61" s="173"/>
      <c r="C61" s="143"/>
      <c r="D61" s="143"/>
      <c r="E61" s="143"/>
      <c r="F61" s="143"/>
      <c r="G61" s="122">
        <v>0.35</v>
      </c>
      <c r="H61" s="113">
        <v>10.5</v>
      </c>
      <c r="I61" s="113">
        <v>0</v>
      </c>
      <c r="J61" s="113">
        <v>28</v>
      </c>
      <c r="K61" s="140">
        <f t="shared" si="8"/>
        <v>0</v>
      </c>
      <c r="L61" s="140">
        <f t="shared" si="9"/>
        <v>0</v>
      </c>
      <c r="M61" s="140">
        <f t="shared" si="10"/>
        <v>0</v>
      </c>
      <c r="N61" s="13"/>
      <c r="O61" s="13"/>
      <c r="P61" s="13"/>
      <c r="Q61" s="13"/>
    </row>
    <row r="62" spans="1:17" ht="16.5" customHeight="1" x14ac:dyDescent="0.25">
      <c r="A62" s="108" t="s">
        <v>256</v>
      </c>
      <c r="B62" s="173"/>
      <c r="C62" s="143"/>
      <c r="D62" s="143"/>
      <c r="E62" s="143"/>
      <c r="F62" s="143"/>
      <c r="G62" s="122">
        <v>0.05</v>
      </c>
      <c r="H62" s="114">
        <v>0.5</v>
      </c>
      <c r="I62" s="113">
        <v>0</v>
      </c>
      <c r="J62" s="114">
        <v>1</v>
      </c>
      <c r="K62" s="140">
        <f t="shared" si="8"/>
        <v>0</v>
      </c>
      <c r="L62" s="140">
        <f t="shared" si="9"/>
        <v>0</v>
      </c>
      <c r="M62" s="140">
        <f t="shared" si="10"/>
        <v>0</v>
      </c>
      <c r="N62" s="13"/>
      <c r="O62" s="13"/>
      <c r="P62" s="13"/>
      <c r="Q62" s="13"/>
    </row>
    <row r="63" spans="1:17" ht="16.5" customHeight="1" x14ac:dyDescent="0.25">
      <c r="A63" s="107"/>
      <c r="B63" s="173"/>
      <c r="C63" s="143"/>
      <c r="D63" s="143"/>
      <c r="E63" s="143"/>
      <c r="F63" s="143"/>
      <c r="G63" s="122"/>
      <c r="H63" s="335"/>
      <c r="I63" s="335"/>
      <c r="J63" s="335"/>
      <c r="K63" s="140">
        <f t="shared" si="8"/>
        <v>0</v>
      </c>
      <c r="L63" s="140">
        <f t="shared" si="9"/>
        <v>0</v>
      </c>
      <c r="M63" s="140">
        <f t="shared" si="10"/>
        <v>0</v>
      </c>
      <c r="N63" s="13"/>
      <c r="O63" s="13"/>
      <c r="P63" s="13"/>
      <c r="Q63" s="13"/>
    </row>
    <row r="64" spans="1:17" ht="16.5" customHeight="1" x14ac:dyDescent="0.25">
      <c r="A64" s="107"/>
      <c r="B64" s="173"/>
      <c r="C64" s="143"/>
      <c r="D64" s="143"/>
      <c r="E64" s="143"/>
      <c r="F64" s="143"/>
      <c r="G64" s="122"/>
      <c r="H64" s="335"/>
      <c r="I64" s="335"/>
      <c r="J64" s="335"/>
      <c r="K64" s="140">
        <f t="shared" si="8"/>
        <v>0</v>
      </c>
      <c r="L64" s="140">
        <f t="shared" si="9"/>
        <v>0</v>
      </c>
      <c r="M64" s="140">
        <f t="shared" si="10"/>
        <v>0</v>
      </c>
      <c r="N64" s="13"/>
      <c r="O64" s="13"/>
      <c r="P64" s="13"/>
      <c r="Q64" s="13"/>
    </row>
    <row r="65" spans="1:17" ht="16.5" customHeight="1" x14ac:dyDescent="0.25">
      <c r="A65" s="150" t="s">
        <v>106</v>
      </c>
      <c r="B65" s="121">
        <f>SUM(B53:B64)</f>
        <v>0</v>
      </c>
      <c r="C65" s="151"/>
      <c r="D65" s="152"/>
      <c r="E65" s="152"/>
      <c r="F65" s="152"/>
      <c r="G65" s="153"/>
      <c r="H65" s="154"/>
      <c r="I65" s="154"/>
      <c r="J65" s="154"/>
      <c r="K65" s="155">
        <f>SUM(K53:K64)</f>
        <v>0</v>
      </c>
      <c r="L65" s="155">
        <f>SUM(L53:L64)</f>
        <v>0</v>
      </c>
      <c r="M65" s="155">
        <f>SUM(M53:M64)</f>
        <v>0</v>
      </c>
      <c r="N65" s="13"/>
      <c r="O65" s="13"/>
      <c r="P65" s="13"/>
      <c r="Q65" s="13"/>
    </row>
    <row r="66" spans="1:17" ht="15.75" customHeight="1" x14ac:dyDescent="0.25">
      <c r="A66" s="157" t="s">
        <v>257</v>
      </c>
      <c r="B66" s="158"/>
      <c r="C66" s="161"/>
      <c r="D66" s="161"/>
      <c r="E66" s="161"/>
      <c r="F66" s="161"/>
      <c r="G66" s="788" t="s">
        <v>243</v>
      </c>
      <c r="H66" s="788"/>
      <c r="I66" s="788"/>
      <c r="J66" s="788"/>
      <c r="K66" s="159"/>
      <c r="L66" s="159"/>
      <c r="M66" s="159"/>
      <c r="N66" s="13"/>
      <c r="O66" s="13"/>
      <c r="P66" s="13"/>
      <c r="Q66" s="13"/>
    </row>
    <row r="67" spans="1:17" ht="16.5" customHeight="1" x14ac:dyDescent="0.25">
      <c r="A67" s="290"/>
      <c r="B67" s="173"/>
      <c r="C67" s="143"/>
      <c r="D67" s="143"/>
      <c r="E67" s="143"/>
      <c r="F67" s="143"/>
      <c r="G67" s="244"/>
      <c r="H67" s="335"/>
      <c r="I67" s="335"/>
      <c r="J67" s="335"/>
      <c r="K67" s="140">
        <f t="shared" ref="K67:M70" si="11">$B67*H67/1000</f>
        <v>0</v>
      </c>
      <c r="L67" s="140">
        <f t="shared" si="11"/>
        <v>0</v>
      </c>
      <c r="M67" s="140">
        <f t="shared" si="11"/>
        <v>0</v>
      </c>
      <c r="N67" s="13"/>
      <c r="O67" s="13"/>
      <c r="P67" s="13"/>
      <c r="Q67" s="13"/>
    </row>
    <row r="68" spans="1:17" ht="16.5" customHeight="1" x14ac:dyDescent="0.25">
      <c r="A68" s="290"/>
      <c r="B68" s="173"/>
      <c r="C68" s="143"/>
      <c r="D68" s="143"/>
      <c r="E68" s="143"/>
      <c r="F68" s="143"/>
      <c r="G68" s="122"/>
      <c r="H68" s="335"/>
      <c r="I68" s="335"/>
      <c r="J68" s="335"/>
      <c r="K68" s="140">
        <f t="shared" si="11"/>
        <v>0</v>
      </c>
      <c r="L68" s="140">
        <f t="shared" si="11"/>
        <v>0</v>
      </c>
      <c r="M68" s="140">
        <f t="shared" si="11"/>
        <v>0</v>
      </c>
      <c r="N68" s="13"/>
      <c r="O68" s="13"/>
      <c r="P68" s="13"/>
      <c r="Q68" s="13"/>
    </row>
    <row r="69" spans="1:17" ht="16.5" customHeight="1" x14ac:dyDescent="0.25">
      <c r="A69" s="290"/>
      <c r="B69" s="173"/>
      <c r="C69" s="143"/>
      <c r="D69" s="143"/>
      <c r="E69" s="143"/>
      <c r="F69" s="143"/>
      <c r="G69" s="122"/>
      <c r="H69" s="335"/>
      <c r="I69" s="335"/>
      <c r="J69" s="335"/>
      <c r="K69" s="140">
        <f t="shared" si="11"/>
        <v>0</v>
      </c>
      <c r="L69" s="140">
        <f t="shared" si="11"/>
        <v>0</v>
      </c>
      <c r="M69" s="140">
        <f t="shared" si="11"/>
        <v>0</v>
      </c>
      <c r="N69" s="13"/>
      <c r="O69" s="13"/>
      <c r="P69" s="13"/>
      <c r="Q69" s="13"/>
    </row>
    <row r="70" spans="1:17" ht="16.5" customHeight="1" x14ac:dyDescent="0.25">
      <c r="A70" s="290"/>
      <c r="B70" s="173"/>
      <c r="C70" s="143"/>
      <c r="D70" s="143"/>
      <c r="E70" s="143"/>
      <c r="F70" s="143"/>
      <c r="G70" s="122"/>
      <c r="H70" s="335"/>
      <c r="I70" s="335"/>
      <c r="J70" s="335"/>
      <c r="K70" s="140">
        <f t="shared" si="11"/>
        <v>0</v>
      </c>
      <c r="L70" s="140">
        <f t="shared" si="11"/>
        <v>0</v>
      </c>
      <c r="M70" s="140">
        <f t="shared" si="11"/>
        <v>0</v>
      </c>
      <c r="N70" s="13"/>
      <c r="O70" s="13"/>
      <c r="P70" s="13"/>
      <c r="Q70" s="13"/>
    </row>
    <row r="71" spans="1:17" ht="16.5" customHeight="1" x14ac:dyDescent="0.25">
      <c r="A71" s="150" t="s">
        <v>105</v>
      </c>
      <c r="B71" s="121">
        <f>SUM(B67:B70)</f>
        <v>0</v>
      </c>
      <c r="C71" s="151"/>
      <c r="D71" s="152"/>
      <c r="E71" s="152"/>
      <c r="F71" s="152"/>
      <c r="G71" s="153"/>
      <c r="H71" s="154"/>
      <c r="I71" s="154"/>
      <c r="J71" s="154"/>
      <c r="K71" s="155">
        <f>SUM(K67:K70)</f>
        <v>0</v>
      </c>
      <c r="L71" s="155">
        <f>SUM(L67:L70)</f>
        <v>0</v>
      </c>
      <c r="M71" s="155">
        <f>SUM(M67:M70)</f>
        <v>0</v>
      </c>
      <c r="N71" s="13"/>
      <c r="O71" s="13"/>
      <c r="P71" s="13"/>
      <c r="Q71" s="13"/>
    </row>
    <row r="72" spans="1:17" ht="16.5" customHeight="1" x14ac:dyDescent="0.25">
      <c r="A72" s="157" t="s">
        <v>146</v>
      </c>
      <c r="B72" s="158"/>
      <c r="C72" s="161"/>
      <c r="D72" s="161"/>
      <c r="E72" s="161"/>
      <c r="F72" s="161"/>
      <c r="G72" s="788" t="s">
        <v>243</v>
      </c>
      <c r="H72" s="788"/>
      <c r="I72" s="788"/>
      <c r="J72" s="788"/>
      <c r="K72" s="159"/>
      <c r="L72" s="159"/>
      <c r="M72" s="159"/>
      <c r="N72" s="13"/>
      <c r="O72" s="13"/>
      <c r="P72" s="13"/>
      <c r="Q72" s="13"/>
    </row>
    <row r="73" spans="1:17" ht="16.5" customHeight="1" x14ac:dyDescent="0.25">
      <c r="A73" s="108" t="s">
        <v>258</v>
      </c>
      <c r="B73" s="173"/>
      <c r="C73" s="143"/>
      <c r="D73" s="143"/>
      <c r="E73" s="143"/>
      <c r="F73" s="143"/>
      <c r="G73" s="138">
        <v>1</v>
      </c>
      <c r="H73" s="113">
        <v>37</v>
      </c>
      <c r="I73" s="113">
        <v>50</v>
      </c>
      <c r="J73" s="113">
        <v>7</v>
      </c>
      <c r="K73" s="140">
        <f t="shared" ref="K73:M75" si="12">$B73*H73/1000</f>
        <v>0</v>
      </c>
      <c r="L73" s="140">
        <f t="shared" si="12"/>
        <v>0</v>
      </c>
      <c r="M73" s="140">
        <f t="shared" si="12"/>
        <v>0</v>
      </c>
      <c r="N73" s="13"/>
      <c r="O73" s="13"/>
      <c r="P73" s="13"/>
      <c r="Q73" s="13"/>
    </row>
    <row r="74" spans="1:17" ht="16.5" customHeight="1" x14ac:dyDescent="0.25">
      <c r="A74" s="9"/>
      <c r="B74" s="173"/>
      <c r="C74" s="143"/>
      <c r="D74" s="143"/>
      <c r="E74" s="143"/>
      <c r="F74" s="143"/>
      <c r="G74" s="138">
        <v>1</v>
      </c>
      <c r="H74" s="335"/>
      <c r="I74" s="335"/>
      <c r="J74" s="335"/>
      <c r="K74" s="140">
        <f t="shared" si="12"/>
        <v>0</v>
      </c>
      <c r="L74" s="140">
        <f t="shared" si="12"/>
        <v>0</v>
      </c>
      <c r="M74" s="140">
        <f t="shared" si="12"/>
        <v>0</v>
      </c>
      <c r="N74" s="13"/>
      <c r="O74" s="13"/>
      <c r="P74" s="13"/>
      <c r="Q74" s="13"/>
    </row>
    <row r="75" spans="1:17" ht="16.5" customHeight="1" x14ac:dyDescent="0.25">
      <c r="A75" s="9"/>
      <c r="B75" s="173"/>
      <c r="C75" s="143"/>
      <c r="D75" s="143"/>
      <c r="E75" s="143"/>
      <c r="F75" s="143"/>
      <c r="G75" s="138">
        <v>1</v>
      </c>
      <c r="H75" s="335"/>
      <c r="I75" s="335"/>
      <c r="J75" s="335"/>
      <c r="K75" s="140">
        <f t="shared" si="12"/>
        <v>0</v>
      </c>
      <c r="L75" s="140">
        <f t="shared" si="12"/>
        <v>0</v>
      </c>
      <c r="M75" s="140">
        <f t="shared" si="12"/>
        <v>0</v>
      </c>
      <c r="N75" s="13"/>
      <c r="O75" s="13"/>
      <c r="P75" s="13"/>
      <c r="Q75" s="13"/>
    </row>
    <row r="76" spans="1:17" ht="16.5" customHeight="1" x14ac:dyDescent="0.25">
      <c r="A76" s="150" t="s">
        <v>104</v>
      </c>
      <c r="B76" s="121">
        <f>SUM(B73:B75)</f>
        <v>0</v>
      </c>
      <c r="C76" s="162"/>
      <c r="D76" s="163"/>
      <c r="E76" s="163"/>
      <c r="F76" s="163"/>
      <c r="G76" s="162"/>
      <c r="H76" s="163"/>
      <c r="I76" s="163"/>
      <c r="J76" s="163"/>
      <c r="K76" s="155">
        <f>SUM(K73:K75)</f>
        <v>0</v>
      </c>
      <c r="L76" s="155">
        <f>SUM(L73:L75)</f>
        <v>0</v>
      </c>
      <c r="M76" s="155">
        <f>SUM(M73:M75)</f>
        <v>0</v>
      </c>
      <c r="N76" s="13"/>
      <c r="O76" s="13"/>
      <c r="P76" s="13"/>
      <c r="Q76" s="13"/>
    </row>
    <row r="77" spans="1:17" s="7" customFormat="1" ht="15.75" hidden="1" x14ac:dyDescent="0.25">
      <c r="A77" s="164" t="s">
        <v>103</v>
      </c>
      <c r="B77" s="165">
        <f>B42+B51+B65+B71+B76</f>
        <v>0</v>
      </c>
      <c r="C77" s="166"/>
      <c r="D77" s="167"/>
      <c r="E77" s="167"/>
      <c r="F77" s="167"/>
      <c r="G77" s="166"/>
      <c r="H77" s="167"/>
      <c r="I77" s="167"/>
      <c r="J77" s="167"/>
      <c r="K77" s="168">
        <f>K42+K51+K65+K71+K76</f>
        <v>0</v>
      </c>
      <c r="L77" s="168">
        <f>L42+L51+L65+L71+L76</f>
        <v>0</v>
      </c>
      <c r="M77" s="168">
        <f>M42+M51+M65+M71+M76</f>
        <v>0</v>
      </c>
      <c r="N77" s="22"/>
      <c r="O77" s="22"/>
      <c r="P77" s="22"/>
      <c r="Q77" s="22"/>
    </row>
    <row r="78" spans="1:17" ht="21.75" customHeight="1" x14ac:dyDescent="0.25">
      <c r="C78" s="169"/>
      <c r="D78" s="7"/>
      <c r="E78" s="94"/>
      <c r="F78" s="7"/>
      <c r="G78" s="169"/>
      <c r="H78" s="7"/>
      <c r="I78" s="7"/>
      <c r="J78" s="7"/>
      <c r="K78" s="170"/>
      <c r="L78" s="170"/>
      <c r="M78" s="170"/>
      <c r="N78" s="13"/>
      <c r="O78" s="13"/>
      <c r="P78" s="13"/>
      <c r="Q78" s="13"/>
    </row>
    <row r="79" spans="1:17" ht="18" x14ac:dyDescent="0.25">
      <c r="A79" s="172" t="s">
        <v>552</v>
      </c>
      <c r="B79" s="125" t="s">
        <v>653</v>
      </c>
      <c r="D79" s="7"/>
      <c r="F79" s="7"/>
      <c r="G79" s="169"/>
      <c r="H79" s="7"/>
      <c r="I79" s="7"/>
      <c r="J79" s="7"/>
      <c r="K79" s="171" t="s">
        <v>1</v>
      </c>
      <c r="L79" s="171" t="s">
        <v>31</v>
      </c>
      <c r="M79" s="171" t="s">
        <v>32</v>
      </c>
      <c r="N79" s="13"/>
      <c r="O79" s="13"/>
      <c r="P79" s="13"/>
      <c r="Q79" s="13"/>
    </row>
    <row r="80" spans="1:17" ht="15.75" x14ac:dyDescent="0.25">
      <c r="A80" s="123" t="s">
        <v>244</v>
      </c>
      <c r="B80" s="126">
        <f>B42</f>
        <v>0</v>
      </c>
      <c r="D80" s="7"/>
      <c r="G80" s="791" t="s">
        <v>244</v>
      </c>
      <c r="H80" s="791"/>
      <c r="I80" s="791"/>
      <c r="J80" s="791"/>
      <c r="K80" s="184">
        <f>K42</f>
        <v>0</v>
      </c>
      <c r="L80" s="184">
        <f>L42</f>
        <v>0</v>
      </c>
      <c r="M80" s="184">
        <f>M42</f>
        <v>0</v>
      </c>
      <c r="N80" s="13"/>
      <c r="O80" s="13"/>
      <c r="P80" s="13"/>
      <c r="Q80" s="13"/>
    </row>
    <row r="81" spans="1:17" ht="15.75" x14ac:dyDescent="0.25">
      <c r="A81" s="123" t="s">
        <v>245</v>
      </c>
      <c r="B81" s="126">
        <f>B51</f>
        <v>0</v>
      </c>
      <c r="D81" s="7"/>
      <c r="G81" s="791" t="s">
        <v>245</v>
      </c>
      <c r="H81" s="791"/>
      <c r="I81" s="791"/>
      <c r="J81" s="791"/>
      <c r="K81" s="184">
        <f>K51</f>
        <v>0</v>
      </c>
      <c r="L81" s="184">
        <f>L51</f>
        <v>0</v>
      </c>
      <c r="M81" s="184">
        <f>M51</f>
        <v>0</v>
      </c>
      <c r="N81" s="13"/>
      <c r="O81" s="13"/>
      <c r="P81" s="13"/>
      <c r="Q81" s="13"/>
    </row>
    <row r="82" spans="1:17" ht="15.75" x14ac:dyDescent="0.25">
      <c r="A82" s="172" t="s">
        <v>110</v>
      </c>
      <c r="B82" s="126">
        <f>B65</f>
        <v>0</v>
      </c>
      <c r="D82" s="7"/>
      <c r="G82" s="807" t="s">
        <v>110</v>
      </c>
      <c r="H82" s="807"/>
      <c r="I82" s="807"/>
      <c r="J82" s="807"/>
      <c r="K82" s="184">
        <f>K65</f>
        <v>0</v>
      </c>
      <c r="L82" s="184">
        <f>L65</f>
        <v>0</v>
      </c>
      <c r="M82" s="184">
        <f>M65</f>
        <v>0</v>
      </c>
      <c r="N82" s="13"/>
      <c r="O82" s="13"/>
      <c r="P82" s="13"/>
      <c r="Q82" s="13"/>
    </row>
    <row r="83" spans="1:17" ht="15.75" x14ac:dyDescent="0.25">
      <c r="A83" s="172" t="s">
        <v>111</v>
      </c>
      <c r="B83" s="126">
        <f>B71</f>
        <v>0</v>
      </c>
      <c r="D83" s="7"/>
      <c r="G83" s="807" t="s">
        <v>111</v>
      </c>
      <c r="H83" s="807"/>
      <c r="I83" s="807"/>
      <c r="J83" s="807"/>
      <c r="K83" s="184">
        <f>K71</f>
        <v>0</v>
      </c>
      <c r="L83" s="184">
        <f>L71</f>
        <v>0</v>
      </c>
      <c r="M83" s="184">
        <f>M71</f>
        <v>0</v>
      </c>
      <c r="N83" s="13"/>
      <c r="O83" s="13"/>
      <c r="P83" s="13"/>
      <c r="Q83" s="13"/>
    </row>
    <row r="84" spans="1:17" ht="15.75" x14ac:dyDescent="0.25">
      <c r="A84" s="172" t="s">
        <v>204</v>
      </c>
      <c r="B84" s="126">
        <f>B76</f>
        <v>0</v>
      </c>
      <c r="D84" s="7"/>
      <c r="G84" s="807" t="s">
        <v>204</v>
      </c>
      <c r="H84" s="807"/>
      <c r="I84" s="807"/>
      <c r="J84" s="807"/>
      <c r="K84" s="184">
        <f>K76</f>
        <v>0</v>
      </c>
      <c r="L84" s="184">
        <f>L76</f>
        <v>0</v>
      </c>
      <c r="M84" s="184">
        <f>M76</f>
        <v>0</v>
      </c>
      <c r="N84" s="13"/>
      <c r="O84" s="13"/>
      <c r="P84" s="13"/>
      <c r="Q84" s="13"/>
    </row>
    <row r="85" spans="1:17" ht="15.75" x14ac:dyDescent="0.25">
      <c r="A85" s="124" t="s">
        <v>246</v>
      </c>
      <c r="B85" s="127">
        <f>SUM(B80:B84)</f>
        <v>0</v>
      </c>
      <c r="D85" s="7"/>
      <c r="G85" s="808" t="s">
        <v>205</v>
      </c>
      <c r="H85" s="808"/>
      <c r="I85" s="808"/>
      <c r="J85" s="808"/>
      <c r="K85" s="185">
        <f>SUM(K80:K84)</f>
        <v>0</v>
      </c>
      <c r="L85" s="185">
        <f>SUM(L80:L84)</f>
        <v>0</v>
      </c>
      <c r="M85" s="185">
        <f>SUM(M80:M84)</f>
        <v>0</v>
      </c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N86" s="13"/>
      <c r="O86" s="13"/>
      <c r="P86" s="13"/>
      <c r="Q86" s="13"/>
    </row>
    <row r="87" spans="1:17" x14ac:dyDescent="0.25">
      <c r="A87" s="172" t="s">
        <v>553</v>
      </c>
      <c r="B87" s="125" t="s">
        <v>653</v>
      </c>
    </row>
    <row r="88" spans="1:17" x14ac:dyDescent="0.25">
      <c r="A88" s="260" t="s">
        <v>417</v>
      </c>
      <c r="B88" s="126">
        <f>SUM(B6:B19)-B15</f>
        <v>0</v>
      </c>
    </row>
    <row r="89" spans="1:17" x14ac:dyDescent="0.25">
      <c r="A89" s="260" t="s">
        <v>418</v>
      </c>
      <c r="B89" s="126">
        <f>B56</f>
        <v>0</v>
      </c>
    </row>
    <row r="90" spans="1:17" x14ac:dyDescent="0.25">
      <c r="A90" s="260" t="s">
        <v>419</v>
      </c>
      <c r="B90" s="126">
        <f>B53+B57</f>
        <v>0</v>
      </c>
    </row>
    <row r="91" spans="1:17" x14ac:dyDescent="0.25">
      <c r="A91" s="265" t="s">
        <v>420</v>
      </c>
      <c r="B91" s="126"/>
    </row>
    <row r="92" spans="1:17" x14ac:dyDescent="0.25">
      <c r="A92" s="260" t="s">
        <v>514</v>
      </c>
      <c r="B92" s="126">
        <f>B73+B74+B75</f>
        <v>0</v>
      </c>
    </row>
    <row r="93" spans="1:17" x14ac:dyDescent="0.25">
      <c r="A93" s="260" t="s">
        <v>422</v>
      </c>
      <c r="B93" s="126">
        <f>SUM(B20:B23)</f>
        <v>0</v>
      </c>
    </row>
    <row r="94" spans="1:17" x14ac:dyDescent="0.25">
      <c r="A94" s="260" t="s">
        <v>95</v>
      </c>
      <c r="B94" s="126">
        <f>B24</f>
        <v>0</v>
      </c>
    </row>
    <row r="95" spans="1:17" x14ac:dyDescent="0.25">
      <c r="A95" s="260" t="s">
        <v>423</v>
      </c>
      <c r="B95" s="126">
        <f>SUM(B25:B28)</f>
        <v>0</v>
      </c>
    </row>
    <row r="96" spans="1:17" x14ac:dyDescent="0.25">
      <c r="A96" s="260" t="s">
        <v>97</v>
      </c>
      <c r="B96" s="126">
        <f>B29</f>
        <v>0</v>
      </c>
    </row>
    <row r="97" spans="1:10" x14ac:dyDescent="0.25">
      <c r="A97" s="260" t="s">
        <v>424</v>
      </c>
      <c r="B97" s="126">
        <f>B54+B58+B59+B60</f>
        <v>0</v>
      </c>
    </row>
    <row r="98" spans="1:10" x14ac:dyDescent="0.25">
      <c r="A98" s="260" t="s">
        <v>99</v>
      </c>
      <c r="B98" s="126">
        <f>B55</f>
        <v>0</v>
      </c>
    </row>
    <row r="99" spans="1:10" x14ac:dyDescent="0.25">
      <c r="A99" s="260" t="s">
        <v>425</v>
      </c>
      <c r="B99" s="126">
        <f>B61</f>
        <v>0</v>
      </c>
    </row>
    <row r="100" spans="1:10" x14ac:dyDescent="0.25">
      <c r="A100" s="260" t="s">
        <v>426</v>
      </c>
      <c r="B100" s="126">
        <f>B62</f>
        <v>0</v>
      </c>
    </row>
    <row r="101" spans="1:10" x14ac:dyDescent="0.25">
      <c r="A101" s="260" t="s">
        <v>427</v>
      </c>
      <c r="B101" s="126">
        <f>B41</f>
        <v>0</v>
      </c>
    </row>
    <row r="102" spans="1:10" x14ac:dyDescent="0.25">
      <c r="A102" s="260" t="s">
        <v>7</v>
      </c>
      <c r="B102" s="126">
        <f>B15</f>
        <v>0</v>
      </c>
    </row>
    <row r="103" spans="1:10" x14ac:dyDescent="0.25">
      <c r="A103" s="260" t="s">
        <v>428</v>
      </c>
      <c r="B103" s="126">
        <f>B39+B40</f>
        <v>0</v>
      </c>
    </row>
    <row r="104" spans="1:10" x14ac:dyDescent="0.25">
      <c r="A104" s="124" t="s">
        <v>246</v>
      </c>
      <c r="B104" s="127">
        <f>SUM(B88:B103)</f>
        <v>0</v>
      </c>
    </row>
    <row r="106" spans="1:10" x14ac:dyDescent="0.25">
      <c r="A106" s="713" t="str">
        <f>Plod.24!B83</f>
        <v>Verze 1 (15. 4. 2025); kontakty (CARC): www.carc.cz, Ing. Jan Klír, CSc. (603 520 684; jan.klir@carc.cz), Ing. Lada Kozlovská (733 375 632; lada.kozlovska@carc.cz)</v>
      </c>
      <c r="B106" s="713"/>
      <c r="C106" s="713"/>
      <c r="D106" s="713"/>
      <c r="E106" s="713"/>
      <c r="F106" s="713"/>
      <c r="G106" s="713"/>
      <c r="H106" s="713"/>
      <c r="I106" s="713"/>
      <c r="J106" s="713"/>
    </row>
  </sheetData>
  <sheetProtection algorithmName="SHA-512" hashValue="egNhM4mM4qoo9Wpr/q/+sYlK+UMzZ7ZJdPP2qRTBdFJTpvv9L8ZlXmnMDJlTdelcccbRFltsjIZvGyZI3MEejA==" saltValue="QXXsd8vxCXLeaxd25plLuA==" spinCount="100000" sheet="1" objects="1" scenarios="1" formatCells="0" formatColumns="0" formatRows="0" selectLockedCells="1"/>
  <mergeCells count="25">
    <mergeCell ref="A106:J106"/>
    <mergeCell ref="G82:J82"/>
    <mergeCell ref="G83:J83"/>
    <mergeCell ref="G84:J84"/>
    <mergeCell ref="G85:J85"/>
    <mergeCell ref="A2:A4"/>
    <mergeCell ref="D2:F2"/>
    <mergeCell ref="C2:C3"/>
    <mergeCell ref="D4:F4"/>
    <mergeCell ref="G80:J80"/>
    <mergeCell ref="B2:B3"/>
    <mergeCell ref="G81:J81"/>
    <mergeCell ref="G66:J66"/>
    <mergeCell ref="G72:J72"/>
    <mergeCell ref="C1:F1"/>
    <mergeCell ref="G1:J1"/>
    <mergeCell ref="G2:G3"/>
    <mergeCell ref="H2:J2"/>
    <mergeCell ref="K1:M1"/>
    <mergeCell ref="K2:M2"/>
    <mergeCell ref="C52:F52"/>
    <mergeCell ref="G52:J52"/>
    <mergeCell ref="G5:J5"/>
    <mergeCell ref="C5:F5"/>
    <mergeCell ref="H4:J4"/>
  </mergeCells>
  <pageMargins left="0.7" right="0.7" top="0.78740157499999996" bottom="0.78740157499999996" header="0.3" footer="0.3"/>
  <pageSetup paperSize="9" orientation="portrait" verticalDpi="0" r:id="rId1"/>
  <ignoredErrors>
    <ignoredError sqref="K57" formula="1"/>
    <ignoredError sqref="B88:B9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A8E-D79F-4E75-A6E7-DD3B60A44023}">
  <sheetPr>
    <tabColor rgb="FF99FF99"/>
  </sheetPr>
  <dimension ref="A1:M65"/>
  <sheetViews>
    <sheetView showZeros="0" zoomScale="90" zoomScaleNormal="90" workbookViewId="0">
      <pane ySplit="2" topLeftCell="A3" activePane="bottomLeft" state="frozen"/>
      <selection pane="bottomLeft" activeCell="C8" sqref="C8"/>
    </sheetView>
  </sheetViews>
  <sheetFormatPr defaultRowHeight="15" x14ac:dyDescent="0.25"/>
  <cols>
    <col min="1" max="1" width="37.5703125" customWidth="1"/>
    <col min="2" max="2" width="26.28515625" style="111" customWidth="1"/>
    <col min="3" max="5" width="17" style="27" customWidth="1"/>
    <col min="6" max="7" width="20" customWidth="1"/>
    <col min="8" max="8" width="11.42578125" style="27" customWidth="1"/>
    <col min="9" max="10" width="28.85546875" customWidth="1"/>
    <col min="11" max="11" width="27.140625" style="111" customWidth="1"/>
  </cols>
  <sheetData>
    <row r="1" spans="1:11" ht="18.75" x14ac:dyDescent="0.3">
      <c r="A1" s="809" t="s">
        <v>632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</row>
    <row r="2" spans="1:11" ht="30.75" customHeight="1" x14ac:dyDescent="0.25">
      <c r="A2" s="354" t="s">
        <v>333</v>
      </c>
      <c r="B2" s="354" t="s">
        <v>371</v>
      </c>
      <c r="C2" s="354" t="s">
        <v>569</v>
      </c>
      <c r="D2" s="354" t="s">
        <v>580</v>
      </c>
      <c r="E2" s="354" t="s">
        <v>581</v>
      </c>
      <c r="F2" s="354" t="s">
        <v>372</v>
      </c>
      <c r="G2" s="354" t="s">
        <v>619</v>
      </c>
      <c r="H2" s="354" t="s">
        <v>646</v>
      </c>
      <c r="I2" s="354" t="s">
        <v>617</v>
      </c>
      <c r="J2" s="354" t="s">
        <v>618</v>
      </c>
      <c r="K2" s="354" t="s">
        <v>616</v>
      </c>
    </row>
    <row r="3" spans="1:11" ht="12.95" customHeight="1" x14ac:dyDescent="0.25">
      <c r="A3" s="355" t="s">
        <v>647</v>
      </c>
      <c r="B3" s="355"/>
      <c r="C3" s="356"/>
      <c r="D3" s="357"/>
      <c r="E3" s="357"/>
      <c r="F3" s="355"/>
      <c r="G3" s="355"/>
      <c r="H3" s="358"/>
      <c r="I3" s="359">
        <v>14</v>
      </c>
      <c r="J3" s="360">
        <f>I3/365*1000</f>
        <v>38.356164383561648</v>
      </c>
      <c r="K3" s="358">
        <f>SUM(K4:K11)</f>
        <v>0</v>
      </c>
    </row>
    <row r="4" spans="1:11" ht="12.95" customHeight="1" x14ac:dyDescent="0.25">
      <c r="A4" s="361" t="s">
        <v>334</v>
      </c>
      <c r="B4" s="361" t="s">
        <v>335</v>
      </c>
      <c r="C4" s="320"/>
      <c r="D4" s="320"/>
      <c r="E4" s="320"/>
      <c r="F4" s="362">
        <v>115</v>
      </c>
      <c r="G4" s="363">
        <v>0.23</v>
      </c>
      <c r="H4" s="364">
        <f t="shared" ref="H4:H11" si="0">C4*G4</f>
        <v>0</v>
      </c>
      <c r="I4" s="365">
        <v>14</v>
      </c>
      <c r="J4" s="366">
        <f t="shared" ref="J4:J48" si="1">I4/365*1000</f>
        <v>38.356164383561648</v>
      </c>
      <c r="K4" s="364">
        <f>(D4*E4/24)*H4*J4/1000</f>
        <v>0</v>
      </c>
    </row>
    <row r="5" spans="1:11" ht="12.95" customHeight="1" x14ac:dyDescent="0.25">
      <c r="A5" s="361" t="s">
        <v>336</v>
      </c>
      <c r="B5" s="361" t="s">
        <v>337</v>
      </c>
      <c r="C5" s="320"/>
      <c r="D5" s="320"/>
      <c r="E5" s="320"/>
      <c r="F5" s="362">
        <v>265</v>
      </c>
      <c r="G5" s="363">
        <v>0.53</v>
      </c>
      <c r="H5" s="364">
        <f t="shared" si="0"/>
        <v>0</v>
      </c>
      <c r="I5" s="365">
        <v>14</v>
      </c>
      <c r="J5" s="366">
        <f t="shared" si="1"/>
        <v>38.356164383561648</v>
      </c>
      <c r="K5" s="364">
        <f t="shared" ref="K5:K48" si="2">(D5*E5/24)*H5*J5/1000</f>
        <v>0</v>
      </c>
    </row>
    <row r="6" spans="1:11" ht="12.95" customHeight="1" x14ac:dyDescent="0.25">
      <c r="A6" s="361" t="s">
        <v>336</v>
      </c>
      <c r="B6" s="361" t="s">
        <v>338</v>
      </c>
      <c r="C6" s="320"/>
      <c r="D6" s="320"/>
      <c r="E6" s="320"/>
      <c r="F6" s="362">
        <v>470</v>
      </c>
      <c r="G6" s="363">
        <v>0.94</v>
      </c>
      <c r="H6" s="364">
        <f t="shared" si="0"/>
        <v>0</v>
      </c>
      <c r="I6" s="365">
        <v>14</v>
      </c>
      <c r="J6" s="366">
        <f t="shared" si="1"/>
        <v>38.356164383561648</v>
      </c>
      <c r="K6" s="364">
        <f t="shared" si="2"/>
        <v>0</v>
      </c>
    </row>
    <row r="7" spans="1:11" ht="12.95" customHeight="1" x14ac:dyDescent="0.25">
      <c r="A7" s="361" t="s">
        <v>336</v>
      </c>
      <c r="B7" s="361" t="s">
        <v>339</v>
      </c>
      <c r="C7" s="320"/>
      <c r="D7" s="320"/>
      <c r="E7" s="320"/>
      <c r="F7" s="362">
        <v>600</v>
      </c>
      <c r="G7" s="363">
        <v>1.2</v>
      </c>
      <c r="H7" s="364">
        <f t="shared" si="0"/>
        <v>0</v>
      </c>
      <c r="I7" s="365">
        <v>14</v>
      </c>
      <c r="J7" s="366">
        <f t="shared" si="1"/>
        <v>38.356164383561648</v>
      </c>
      <c r="K7" s="364">
        <f t="shared" si="2"/>
        <v>0</v>
      </c>
    </row>
    <row r="8" spans="1:11" ht="12.95" customHeight="1" x14ac:dyDescent="0.25">
      <c r="A8" s="361" t="s">
        <v>340</v>
      </c>
      <c r="B8" s="361"/>
      <c r="C8" s="320"/>
      <c r="D8" s="320"/>
      <c r="E8" s="320"/>
      <c r="F8" s="362">
        <v>650</v>
      </c>
      <c r="G8" s="363">
        <v>1.3</v>
      </c>
      <c r="H8" s="364">
        <f t="shared" si="0"/>
        <v>0</v>
      </c>
      <c r="I8" s="365">
        <v>14</v>
      </c>
      <c r="J8" s="366">
        <f t="shared" si="1"/>
        <v>38.356164383561648</v>
      </c>
      <c r="K8" s="364">
        <f t="shared" si="2"/>
        <v>0</v>
      </c>
    </row>
    <row r="9" spans="1:11" ht="12.95" customHeight="1" x14ac:dyDescent="0.25">
      <c r="A9" s="361" t="s">
        <v>341</v>
      </c>
      <c r="B9" s="361" t="s">
        <v>337</v>
      </c>
      <c r="C9" s="320"/>
      <c r="D9" s="320"/>
      <c r="E9" s="320"/>
      <c r="F9" s="362">
        <v>300</v>
      </c>
      <c r="G9" s="363">
        <v>0.6</v>
      </c>
      <c r="H9" s="364">
        <f t="shared" si="0"/>
        <v>0</v>
      </c>
      <c r="I9" s="365">
        <v>14</v>
      </c>
      <c r="J9" s="366">
        <f t="shared" si="1"/>
        <v>38.356164383561648</v>
      </c>
      <c r="K9" s="364">
        <f t="shared" si="2"/>
        <v>0</v>
      </c>
    </row>
    <row r="10" spans="1:11" ht="12.95" customHeight="1" x14ac:dyDescent="0.25">
      <c r="A10" s="361" t="s">
        <v>341</v>
      </c>
      <c r="B10" s="361" t="s">
        <v>338</v>
      </c>
      <c r="C10" s="320"/>
      <c r="D10" s="320"/>
      <c r="E10" s="320"/>
      <c r="F10" s="362">
        <v>560</v>
      </c>
      <c r="G10" s="363">
        <v>1.1200000000000001</v>
      </c>
      <c r="H10" s="364">
        <f t="shared" si="0"/>
        <v>0</v>
      </c>
      <c r="I10" s="365">
        <v>14</v>
      </c>
      <c r="J10" s="366">
        <f t="shared" si="1"/>
        <v>38.356164383561648</v>
      </c>
      <c r="K10" s="364">
        <f t="shared" si="2"/>
        <v>0</v>
      </c>
    </row>
    <row r="11" spans="1:11" ht="12.95" customHeight="1" x14ac:dyDescent="0.25">
      <c r="A11" s="361" t="s">
        <v>342</v>
      </c>
      <c r="B11" s="361" t="s">
        <v>339</v>
      </c>
      <c r="C11" s="320"/>
      <c r="D11" s="320"/>
      <c r="E11" s="320"/>
      <c r="F11" s="362">
        <v>800</v>
      </c>
      <c r="G11" s="363">
        <v>1.6</v>
      </c>
      <c r="H11" s="364">
        <f t="shared" si="0"/>
        <v>0</v>
      </c>
      <c r="I11" s="365">
        <v>14</v>
      </c>
      <c r="J11" s="366">
        <f t="shared" si="1"/>
        <v>38.356164383561648</v>
      </c>
      <c r="K11" s="364">
        <f t="shared" si="2"/>
        <v>0</v>
      </c>
    </row>
    <row r="12" spans="1:11" ht="12.95" customHeight="1" x14ac:dyDescent="0.25">
      <c r="A12" s="355" t="s">
        <v>376</v>
      </c>
      <c r="B12" s="355"/>
      <c r="C12" s="357"/>
      <c r="D12" s="358"/>
      <c r="E12" s="358"/>
      <c r="F12" s="355"/>
      <c r="G12" s="355"/>
      <c r="H12" s="358"/>
      <c r="I12" s="359">
        <v>9.1</v>
      </c>
      <c r="J12" s="360">
        <f t="shared" si="1"/>
        <v>24.93150684931507</v>
      </c>
      <c r="K12" s="358">
        <f>K13+K14</f>
        <v>0</v>
      </c>
    </row>
    <row r="13" spans="1:11" ht="12.95" customHeight="1" x14ac:dyDescent="0.25">
      <c r="A13" s="361" t="s">
        <v>375</v>
      </c>
      <c r="B13" s="361" t="s">
        <v>349</v>
      </c>
      <c r="C13" s="320"/>
      <c r="D13" s="320"/>
      <c r="E13" s="320"/>
      <c r="F13" s="362">
        <v>70</v>
      </c>
      <c r="G13" s="363">
        <v>0.2</v>
      </c>
      <c r="H13" s="364">
        <f>C13*G13</f>
        <v>0</v>
      </c>
      <c r="I13" s="365">
        <v>9.1</v>
      </c>
      <c r="J13" s="366">
        <f t="shared" si="1"/>
        <v>24.93150684931507</v>
      </c>
      <c r="K13" s="364">
        <f t="shared" si="2"/>
        <v>0</v>
      </c>
    </row>
    <row r="14" spans="1:11" ht="12.95" customHeight="1" x14ac:dyDescent="0.25">
      <c r="A14" s="361" t="s">
        <v>374</v>
      </c>
      <c r="B14" s="361" t="s">
        <v>349</v>
      </c>
      <c r="C14" s="320"/>
      <c r="D14" s="320"/>
      <c r="E14" s="320"/>
      <c r="F14" s="362">
        <v>70</v>
      </c>
      <c r="G14" s="363">
        <f>F14/500</f>
        <v>0.14000000000000001</v>
      </c>
      <c r="H14" s="364">
        <f>C14*G14</f>
        <v>0</v>
      </c>
      <c r="I14" s="365">
        <v>9.1</v>
      </c>
      <c r="J14" s="366">
        <f t="shared" si="1"/>
        <v>24.93150684931507</v>
      </c>
      <c r="K14" s="364">
        <f t="shared" si="2"/>
        <v>0</v>
      </c>
    </row>
    <row r="15" spans="1:11" ht="12.95" customHeight="1" x14ac:dyDescent="0.25">
      <c r="A15" s="355" t="s">
        <v>377</v>
      </c>
      <c r="B15" s="355"/>
      <c r="C15" s="357"/>
      <c r="D15" s="358"/>
      <c r="E15" s="358"/>
      <c r="F15" s="355"/>
      <c r="G15" s="355"/>
      <c r="H15" s="358"/>
      <c r="I15" s="359">
        <v>8.6</v>
      </c>
      <c r="J15" s="360">
        <f t="shared" si="1"/>
        <v>23.561643835616437</v>
      </c>
      <c r="K15" s="358">
        <f>SUM(K16:K19)</f>
        <v>0</v>
      </c>
    </row>
    <row r="16" spans="1:11" ht="12.95" customHeight="1" x14ac:dyDescent="0.25">
      <c r="A16" s="361" t="s">
        <v>351</v>
      </c>
      <c r="B16" s="361" t="s">
        <v>335</v>
      </c>
      <c r="C16" s="320"/>
      <c r="D16" s="320"/>
      <c r="E16" s="320"/>
      <c r="F16" s="362">
        <v>200</v>
      </c>
      <c r="G16" s="363">
        <v>0.4</v>
      </c>
      <c r="H16" s="364">
        <f>C16*G16</f>
        <v>0</v>
      </c>
      <c r="I16" s="365">
        <v>8.6</v>
      </c>
      <c r="J16" s="366">
        <f t="shared" si="1"/>
        <v>23.561643835616437</v>
      </c>
      <c r="K16" s="364">
        <f t="shared" si="2"/>
        <v>0</v>
      </c>
    </row>
    <row r="17" spans="1:11" ht="12.95" customHeight="1" x14ac:dyDescent="0.25">
      <c r="A17" s="361" t="s">
        <v>352</v>
      </c>
      <c r="B17" s="361" t="s">
        <v>337</v>
      </c>
      <c r="C17" s="320"/>
      <c r="D17" s="320"/>
      <c r="E17" s="320"/>
      <c r="F17" s="362">
        <v>350</v>
      </c>
      <c r="G17" s="363">
        <v>0.7</v>
      </c>
      <c r="H17" s="364">
        <f>C17*G17</f>
        <v>0</v>
      </c>
      <c r="I17" s="365">
        <v>8.6</v>
      </c>
      <c r="J17" s="366">
        <f t="shared" si="1"/>
        <v>23.561643835616437</v>
      </c>
      <c r="K17" s="364">
        <f t="shared" si="2"/>
        <v>0</v>
      </c>
    </row>
    <row r="18" spans="1:11" ht="12.95" customHeight="1" x14ac:dyDescent="0.25">
      <c r="A18" s="361" t="s">
        <v>352</v>
      </c>
      <c r="B18" s="361" t="s">
        <v>353</v>
      </c>
      <c r="C18" s="320"/>
      <c r="D18" s="320"/>
      <c r="E18" s="320"/>
      <c r="F18" s="362">
        <v>500</v>
      </c>
      <c r="G18" s="363">
        <v>1</v>
      </c>
      <c r="H18" s="364">
        <f>C18*G18</f>
        <v>0</v>
      </c>
      <c r="I18" s="365">
        <v>8.6</v>
      </c>
      <c r="J18" s="366">
        <f t="shared" si="1"/>
        <v>23.561643835616437</v>
      </c>
      <c r="K18" s="364">
        <f t="shared" si="2"/>
        <v>0</v>
      </c>
    </row>
    <row r="19" spans="1:11" ht="12.95" customHeight="1" x14ac:dyDescent="0.25">
      <c r="A19" s="361" t="s">
        <v>352</v>
      </c>
      <c r="B19" s="361" t="s">
        <v>354</v>
      </c>
      <c r="C19" s="320"/>
      <c r="D19" s="320"/>
      <c r="E19" s="320"/>
      <c r="F19" s="362">
        <v>650</v>
      </c>
      <c r="G19" s="363">
        <v>1.3</v>
      </c>
      <c r="H19" s="364">
        <f>C19*G19</f>
        <v>0</v>
      </c>
      <c r="I19" s="365">
        <v>8.6</v>
      </c>
      <c r="J19" s="366">
        <f t="shared" si="1"/>
        <v>23.561643835616437</v>
      </c>
      <c r="K19" s="364">
        <f t="shared" si="2"/>
        <v>0</v>
      </c>
    </row>
    <row r="20" spans="1:11" ht="12.95" customHeight="1" x14ac:dyDescent="0.25">
      <c r="A20" s="367" t="s">
        <v>373</v>
      </c>
      <c r="B20" s="355"/>
      <c r="C20" s="357"/>
      <c r="D20" s="358"/>
      <c r="E20" s="358"/>
      <c r="F20" s="355"/>
      <c r="G20" s="355"/>
      <c r="H20" s="358"/>
      <c r="I20" s="359">
        <v>8.6</v>
      </c>
      <c r="J20" s="360">
        <f t="shared" si="1"/>
        <v>23.561643835616437</v>
      </c>
      <c r="K20" s="358">
        <f>SUM(K21:K24)</f>
        <v>0</v>
      </c>
    </row>
    <row r="21" spans="1:11" ht="12.95" customHeight="1" x14ac:dyDescent="0.25">
      <c r="A21" s="361" t="s">
        <v>351</v>
      </c>
      <c r="B21" s="361" t="s">
        <v>335</v>
      </c>
      <c r="C21" s="320"/>
      <c r="D21" s="320"/>
      <c r="E21" s="320"/>
      <c r="F21" s="362">
        <f>200/2</f>
        <v>100</v>
      </c>
      <c r="G21" s="363">
        <f>F21/500</f>
        <v>0.2</v>
      </c>
      <c r="H21" s="364">
        <f>C21*G21</f>
        <v>0</v>
      </c>
      <c r="I21" s="365">
        <v>8.6</v>
      </c>
      <c r="J21" s="366">
        <f t="shared" si="1"/>
        <v>23.561643835616437</v>
      </c>
      <c r="K21" s="364">
        <f t="shared" si="2"/>
        <v>0</v>
      </c>
    </row>
    <row r="22" spans="1:11" ht="12.95" customHeight="1" x14ac:dyDescent="0.25">
      <c r="A22" s="361" t="s">
        <v>352</v>
      </c>
      <c r="B22" s="361" t="s">
        <v>337</v>
      </c>
      <c r="C22" s="320"/>
      <c r="D22" s="320"/>
      <c r="E22" s="320"/>
      <c r="F22" s="362">
        <f>350/2</f>
        <v>175</v>
      </c>
      <c r="G22" s="363">
        <f>F22/500</f>
        <v>0.35</v>
      </c>
      <c r="H22" s="364">
        <f>C22*G22</f>
        <v>0</v>
      </c>
      <c r="I22" s="365">
        <v>8.6</v>
      </c>
      <c r="J22" s="366">
        <f t="shared" si="1"/>
        <v>23.561643835616437</v>
      </c>
      <c r="K22" s="364">
        <f t="shared" si="2"/>
        <v>0</v>
      </c>
    </row>
    <row r="23" spans="1:11" ht="12.95" customHeight="1" x14ac:dyDescent="0.25">
      <c r="A23" s="361" t="s">
        <v>352</v>
      </c>
      <c r="B23" s="361" t="s">
        <v>353</v>
      </c>
      <c r="C23" s="320"/>
      <c r="D23" s="320"/>
      <c r="E23" s="320"/>
      <c r="F23" s="362">
        <f>500/2</f>
        <v>250</v>
      </c>
      <c r="G23" s="363">
        <f>F23/500</f>
        <v>0.5</v>
      </c>
      <c r="H23" s="364">
        <f>C23*G23</f>
        <v>0</v>
      </c>
      <c r="I23" s="365">
        <v>8.6</v>
      </c>
      <c r="J23" s="366">
        <f t="shared" si="1"/>
        <v>23.561643835616437</v>
      </c>
      <c r="K23" s="364">
        <f t="shared" si="2"/>
        <v>0</v>
      </c>
    </row>
    <row r="24" spans="1:11" ht="12.95" customHeight="1" x14ac:dyDescent="0.25">
      <c r="A24" s="361" t="s">
        <v>352</v>
      </c>
      <c r="B24" s="361" t="s">
        <v>354</v>
      </c>
      <c r="C24" s="320"/>
      <c r="D24" s="320"/>
      <c r="E24" s="320"/>
      <c r="F24" s="362">
        <f>650/2</f>
        <v>325</v>
      </c>
      <c r="G24" s="363">
        <f>F24/500</f>
        <v>0.65</v>
      </c>
      <c r="H24" s="364">
        <f>C24*G24</f>
        <v>0</v>
      </c>
      <c r="I24" s="365">
        <v>8.6</v>
      </c>
      <c r="J24" s="366">
        <f t="shared" si="1"/>
        <v>23.561643835616437</v>
      </c>
      <c r="K24" s="364">
        <f t="shared" si="2"/>
        <v>0</v>
      </c>
    </row>
    <row r="25" spans="1:11" ht="12.95" customHeight="1" x14ac:dyDescent="0.25">
      <c r="A25" s="355" t="s">
        <v>350</v>
      </c>
      <c r="B25" s="355"/>
      <c r="C25" s="357"/>
      <c r="D25" s="358"/>
      <c r="E25" s="358"/>
      <c r="F25" s="355"/>
      <c r="G25" s="355"/>
      <c r="H25" s="358"/>
      <c r="I25" s="359">
        <v>11.8</v>
      </c>
      <c r="J25" s="360">
        <f t="shared" si="1"/>
        <v>32.328767123287676</v>
      </c>
      <c r="K25" s="358">
        <f>K26</f>
        <v>0</v>
      </c>
    </row>
    <row r="26" spans="1:11" ht="12.95" customHeight="1" x14ac:dyDescent="0.25">
      <c r="A26" s="361" t="s">
        <v>350</v>
      </c>
      <c r="B26" s="361"/>
      <c r="C26" s="320"/>
      <c r="D26" s="320"/>
      <c r="E26" s="320"/>
      <c r="F26" s="362">
        <v>35</v>
      </c>
      <c r="G26" s="363">
        <v>7.0000000000000007E-2</v>
      </c>
      <c r="H26" s="364">
        <f>C26*G26</f>
        <v>0</v>
      </c>
      <c r="I26" s="365">
        <v>11.8</v>
      </c>
      <c r="J26" s="366">
        <f t="shared" si="1"/>
        <v>32.328767123287676</v>
      </c>
      <c r="K26" s="364">
        <f t="shared" si="2"/>
        <v>0</v>
      </c>
    </row>
    <row r="27" spans="1:11" ht="12.95" customHeight="1" x14ac:dyDescent="0.25">
      <c r="A27" s="355" t="s">
        <v>355</v>
      </c>
      <c r="B27" s="355"/>
      <c r="C27" s="357"/>
      <c r="D27" s="358"/>
      <c r="E27" s="358"/>
      <c r="F27" s="355"/>
      <c r="G27" s="355"/>
      <c r="H27" s="358">
        <f>H28+H29+H30</f>
        <v>0</v>
      </c>
      <c r="I27" s="359">
        <v>12.3</v>
      </c>
      <c r="J27" s="360">
        <f t="shared" si="1"/>
        <v>33.698630136986303</v>
      </c>
      <c r="K27" s="358">
        <f>K28+K29+K30</f>
        <v>0</v>
      </c>
    </row>
    <row r="28" spans="1:11" ht="12.95" customHeight="1" x14ac:dyDescent="0.25">
      <c r="A28" s="361" t="s">
        <v>356</v>
      </c>
      <c r="B28" s="361"/>
      <c r="C28" s="320"/>
      <c r="D28" s="320"/>
      <c r="E28" s="320"/>
      <c r="F28" s="362">
        <v>20</v>
      </c>
      <c r="G28" s="363">
        <v>0.04</v>
      </c>
      <c r="H28" s="364">
        <f>C28*G28</f>
        <v>0</v>
      </c>
      <c r="I28" s="365">
        <v>12.3</v>
      </c>
      <c r="J28" s="366">
        <f t="shared" si="1"/>
        <v>33.698630136986303</v>
      </c>
      <c r="K28" s="364">
        <f t="shared" si="2"/>
        <v>0</v>
      </c>
    </row>
    <row r="29" spans="1:11" ht="12.95" customHeight="1" x14ac:dyDescent="0.25">
      <c r="A29" s="361" t="s">
        <v>357</v>
      </c>
      <c r="B29" s="361"/>
      <c r="C29" s="320"/>
      <c r="D29" s="320"/>
      <c r="E29" s="320"/>
      <c r="F29" s="362">
        <v>50</v>
      </c>
      <c r="G29" s="363">
        <v>0.1</v>
      </c>
      <c r="H29" s="364">
        <f>C29*G29</f>
        <v>0</v>
      </c>
      <c r="I29" s="365">
        <v>12.3</v>
      </c>
      <c r="J29" s="366">
        <f t="shared" si="1"/>
        <v>33.698630136986303</v>
      </c>
      <c r="K29" s="364">
        <f t="shared" si="2"/>
        <v>0</v>
      </c>
    </row>
    <row r="30" spans="1:11" ht="12.95" customHeight="1" x14ac:dyDescent="0.25">
      <c r="A30" s="361" t="s">
        <v>358</v>
      </c>
      <c r="B30" s="361"/>
      <c r="C30" s="320"/>
      <c r="D30" s="320"/>
      <c r="E30" s="320"/>
      <c r="F30" s="362">
        <v>110</v>
      </c>
      <c r="G30" s="363">
        <v>0.22</v>
      </c>
      <c r="H30" s="364">
        <f>C30*G30</f>
        <v>0</v>
      </c>
      <c r="I30" s="365">
        <v>12.3</v>
      </c>
      <c r="J30" s="366">
        <f t="shared" si="1"/>
        <v>33.698630136986303</v>
      </c>
      <c r="K30" s="364">
        <f t="shared" si="2"/>
        <v>0</v>
      </c>
    </row>
    <row r="31" spans="1:11" ht="12.95" customHeight="1" x14ac:dyDescent="0.25">
      <c r="A31" s="355" t="s">
        <v>343</v>
      </c>
      <c r="B31" s="355"/>
      <c r="C31" s="357"/>
      <c r="D31" s="358"/>
      <c r="E31" s="358"/>
      <c r="F31" s="355"/>
      <c r="G31" s="355"/>
      <c r="H31" s="358"/>
      <c r="I31" s="359">
        <v>12.5</v>
      </c>
      <c r="J31" s="360">
        <f t="shared" si="1"/>
        <v>34.246575342465754</v>
      </c>
      <c r="K31" s="358">
        <f>SUM(K32:K36)</f>
        <v>0</v>
      </c>
    </row>
    <row r="32" spans="1:11" ht="12.95" customHeight="1" x14ac:dyDescent="0.25">
      <c r="A32" s="361" t="s">
        <v>344</v>
      </c>
      <c r="B32" s="361"/>
      <c r="C32" s="320"/>
      <c r="D32" s="320"/>
      <c r="E32" s="320"/>
      <c r="F32" s="362">
        <v>20</v>
      </c>
      <c r="G32" s="363">
        <v>0.04</v>
      </c>
      <c r="H32" s="364">
        <f>C32*G32</f>
        <v>0</v>
      </c>
      <c r="I32" s="365">
        <v>12.5</v>
      </c>
      <c r="J32" s="366">
        <f t="shared" si="1"/>
        <v>34.246575342465754</v>
      </c>
      <c r="K32" s="364">
        <f t="shared" si="2"/>
        <v>0</v>
      </c>
    </row>
    <row r="33" spans="1:11" ht="12.95" customHeight="1" x14ac:dyDescent="0.25">
      <c r="A33" s="361" t="s">
        <v>345</v>
      </c>
      <c r="B33" s="361"/>
      <c r="C33" s="320"/>
      <c r="D33" s="320"/>
      <c r="E33" s="320"/>
      <c r="F33" s="362">
        <v>70</v>
      </c>
      <c r="G33" s="363">
        <v>0.14000000000000001</v>
      </c>
      <c r="H33" s="364">
        <f>C33*G33</f>
        <v>0</v>
      </c>
      <c r="I33" s="365">
        <v>12.5</v>
      </c>
      <c r="J33" s="366">
        <f t="shared" si="1"/>
        <v>34.246575342465754</v>
      </c>
      <c r="K33" s="364">
        <f t="shared" si="2"/>
        <v>0</v>
      </c>
    </row>
    <row r="34" spans="1:11" ht="12.95" customHeight="1" x14ac:dyDescent="0.25">
      <c r="A34" s="361" t="s">
        <v>346</v>
      </c>
      <c r="B34" s="361"/>
      <c r="C34" s="320"/>
      <c r="D34" s="320"/>
      <c r="E34" s="320"/>
      <c r="F34" s="362">
        <v>160</v>
      </c>
      <c r="G34" s="363">
        <v>0.32</v>
      </c>
      <c r="H34" s="364">
        <f>C34*G34</f>
        <v>0</v>
      </c>
      <c r="I34" s="365">
        <v>12.5</v>
      </c>
      <c r="J34" s="366">
        <f t="shared" si="1"/>
        <v>34.246575342465754</v>
      </c>
      <c r="K34" s="364">
        <f t="shared" si="2"/>
        <v>0</v>
      </c>
    </row>
    <row r="35" spans="1:11" ht="12.95" customHeight="1" x14ac:dyDescent="0.25">
      <c r="A35" s="361" t="s">
        <v>347</v>
      </c>
      <c r="B35" s="361"/>
      <c r="C35" s="320"/>
      <c r="D35" s="320"/>
      <c r="E35" s="320"/>
      <c r="F35" s="362">
        <v>235</v>
      </c>
      <c r="G35" s="363">
        <v>0.47</v>
      </c>
      <c r="H35" s="364">
        <f>C35*G35</f>
        <v>0</v>
      </c>
      <c r="I35" s="365">
        <v>12.5</v>
      </c>
      <c r="J35" s="366">
        <f t="shared" si="1"/>
        <v>34.246575342465754</v>
      </c>
      <c r="K35" s="364">
        <f t="shared" si="2"/>
        <v>0</v>
      </c>
    </row>
    <row r="36" spans="1:11" ht="12.95" customHeight="1" x14ac:dyDescent="0.25">
      <c r="A36" s="361" t="s">
        <v>348</v>
      </c>
      <c r="B36" s="361"/>
      <c r="C36" s="320"/>
      <c r="D36" s="320"/>
      <c r="E36" s="320"/>
      <c r="F36" s="362">
        <v>75</v>
      </c>
      <c r="G36" s="363">
        <v>0.15</v>
      </c>
      <c r="H36" s="364">
        <f>C36*G36</f>
        <v>0</v>
      </c>
      <c r="I36" s="365">
        <v>12.5</v>
      </c>
      <c r="J36" s="366">
        <f t="shared" si="1"/>
        <v>34.246575342465754</v>
      </c>
      <c r="K36" s="364">
        <f t="shared" si="2"/>
        <v>0</v>
      </c>
    </row>
    <row r="37" spans="1:11" ht="12.95" customHeight="1" x14ac:dyDescent="0.25">
      <c r="A37" s="355" t="s">
        <v>359</v>
      </c>
      <c r="B37" s="355"/>
      <c r="C37" s="357"/>
      <c r="D37" s="358"/>
      <c r="E37" s="358"/>
      <c r="F37" s="355"/>
      <c r="G37" s="355"/>
      <c r="H37" s="358"/>
      <c r="I37" s="359">
        <v>9.4</v>
      </c>
      <c r="J37" s="360">
        <f t="shared" si="1"/>
        <v>25.753424657534246</v>
      </c>
      <c r="K37" s="358">
        <f>SUM(K38:K48)</f>
        <v>0</v>
      </c>
    </row>
    <row r="38" spans="1:11" ht="12.95" customHeight="1" x14ac:dyDescent="0.25">
      <c r="A38" s="361" t="s">
        <v>360</v>
      </c>
      <c r="B38" s="361"/>
      <c r="C38" s="320"/>
      <c r="D38" s="320"/>
      <c r="E38" s="320"/>
      <c r="F38" s="365">
        <v>1.7</v>
      </c>
      <c r="G38" s="368">
        <v>3.3999999999999998E-3</v>
      </c>
      <c r="H38" s="364">
        <f t="shared" ref="H38:H48" si="3">C38*G38</f>
        <v>0</v>
      </c>
      <c r="I38" s="365">
        <v>9.4</v>
      </c>
      <c r="J38" s="366">
        <f t="shared" si="1"/>
        <v>25.753424657534246</v>
      </c>
      <c r="K38" s="364">
        <f t="shared" si="2"/>
        <v>0</v>
      </c>
    </row>
    <row r="39" spans="1:11" ht="12.95" customHeight="1" x14ac:dyDescent="0.25">
      <c r="A39" s="361" t="s">
        <v>361</v>
      </c>
      <c r="B39" s="361"/>
      <c r="C39" s="320"/>
      <c r="D39" s="320"/>
      <c r="E39" s="320"/>
      <c r="F39" s="365">
        <v>0.8</v>
      </c>
      <c r="G39" s="368">
        <v>1.6000000000000001E-3</v>
      </c>
      <c r="H39" s="364">
        <f t="shared" si="3"/>
        <v>0</v>
      </c>
      <c r="I39" s="365">
        <v>9.4</v>
      </c>
      <c r="J39" s="366">
        <f t="shared" si="1"/>
        <v>25.753424657534246</v>
      </c>
      <c r="K39" s="364">
        <f t="shared" si="2"/>
        <v>0</v>
      </c>
    </row>
    <row r="40" spans="1:11" ht="12.95" customHeight="1" x14ac:dyDescent="0.25">
      <c r="A40" s="361" t="s">
        <v>362</v>
      </c>
      <c r="B40" s="361"/>
      <c r="C40" s="320"/>
      <c r="D40" s="320"/>
      <c r="E40" s="320"/>
      <c r="F40" s="365">
        <v>1</v>
      </c>
      <c r="G40" s="368">
        <v>2E-3</v>
      </c>
      <c r="H40" s="364">
        <f t="shared" si="3"/>
        <v>0</v>
      </c>
      <c r="I40" s="365">
        <v>9.4</v>
      </c>
      <c r="J40" s="366">
        <f t="shared" si="1"/>
        <v>25.753424657534246</v>
      </c>
      <c r="K40" s="364">
        <f t="shared" si="2"/>
        <v>0</v>
      </c>
    </row>
    <row r="41" spans="1:11" ht="12.95" customHeight="1" x14ac:dyDescent="0.25">
      <c r="A41" s="361" t="s">
        <v>363</v>
      </c>
      <c r="B41" s="361"/>
      <c r="C41" s="320"/>
      <c r="D41" s="320"/>
      <c r="E41" s="320"/>
      <c r="F41" s="365">
        <v>3.5</v>
      </c>
      <c r="G41" s="368">
        <v>7.0000000000000001E-3</v>
      </c>
      <c r="H41" s="364">
        <f t="shared" si="3"/>
        <v>0</v>
      </c>
      <c r="I41" s="365">
        <v>9.4</v>
      </c>
      <c r="J41" s="366">
        <f t="shared" si="1"/>
        <v>25.753424657534246</v>
      </c>
      <c r="K41" s="364">
        <f t="shared" si="2"/>
        <v>0</v>
      </c>
    </row>
    <row r="42" spans="1:11" ht="12.95" customHeight="1" x14ac:dyDescent="0.25">
      <c r="A42" s="361" t="s">
        <v>364</v>
      </c>
      <c r="B42" s="361"/>
      <c r="C42" s="320"/>
      <c r="D42" s="320"/>
      <c r="E42" s="320"/>
      <c r="F42" s="365">
        <v>2</v>
      </c>
      <c r="G42" s="368">
        <v>4.0000000000000001E-3</v>
      </c>
      <c r="H42" s="364">
        <f t="shared" si="3"/>
        <v>0</v>
      </c>
      <c r="I42" s="365">
        <v>9.4</v>
      </c>
      <c r="J42" s="366">
        <f t="shared" si="1"/>
        <v>25.753424657534246</v>
      </c>
      <c r="K42" s="364">
        <f t="shared" si="2"/>
        <v>0</v>
      </c>
    </row>
    <row r="43" spans="1:11" ht="12.95" customHeight="1" x14ac:dyDescent="0.25">
      <c r="A43" s="361" t="s">
        <v>365</v>
      </c>
      <c r="B43" s="361"/>
      <c r="C43" s="320"/>
      <c r="D43" s="320"/>
      <c r="E43" s="320"/>
      <c r="F43" s="365">
        <v>4.8</v>
      </c>
      <c r="G43" s="368">
        <v>9.5999999999999992E-3</v>
      </c>
      <c r="H43" s="364">
        <f t="shared" si="3"/>
        <v>0</v>
      </c>
      <c r="I43" s="365">
        <v>9.4</v>
      </c>
      <c r="J43" s="366">
        <f t="shared" si="1"/>
        <v>25.753424657534246</v>
      </c>
      <c r="K43" s="364">
        <f t="shared" si="2"/>
        <v>0</v>
      </c>
    </row>
    <row r="44" spans="1:11" ht="12.95" customHeight="1" x14ac:dyDescent="0.25">
      <c r="A44" s="361" t="s">
        <v>366</v>
      </c>
      <c r="B44" s="361"/>
      <c r="C44" s="320"/>
      <c r="D44" s="320"/>
      <c r="E44" s="320"/>
      <c r="F44" s="365">
        <v>2.5</v>
      </c>
      <c r="G44" s="368">
        <v>5.0000000000000001E-3</v>
      </c>
      <c r="H44" s="364">
        <f t="shared" si="3"/>
        <v>0</v>
      </c>
      <c r="I44" s="365">
        <v>9.4</v>
      </c>
      <c r="J44" s="366">
        <f t="shared" si="1"/>
        <v>25.753424657534246</v>
      </c>
      <c r="K44" s="364">
        <f t="shared" si="2"/>
        <v>0</v>
      </c>
    </row>
    <row r="45" spans="1:11" ht="12.95" customHeight="1" x14ac:dyDescent="0.25">
      <c r="A45" s="361" t="s">
        <v>367</v>
      </c>
      <c r="B45" s="361"/>
      <c r="C45" s="320"/>
      <c r="D45" s="320"/>
      <c r="E45" s="320"/>
      <c r="F45" s="365">
        <v>10</v>
      </c>
      <c r="G45" s="368">
        <v>0.02</v>
      </c>
      <c r="H45" s="364">
        <f t="shared" si="3"/>
        <v>0</v>
      </c>
      <c r="I45" s="365">
        <v>9.4</v>
      </c>
      <c r="J45" s="366">
        <f t="shared" si="1"/>
        <v>25.753424657534246</v>
      </c>
      <c r="K45" s="364">
        <f t="shared" si="2"/>
        <v>0</v>
      </c>
    </row>
    <row r="46" spans="1:11" ht="12.95" customHeight="1" x14ac:dyDescent="0.25">
      <c r="A46" s="361" t="s">
        <v>368</v>
      </c>
      <c r="B46" s="361"/>
      <c r="C46" s="320"/>
      <c r="D46" s="320"/>
      <c r="E46" s="320"/>
      <c r="F46" s="365">
        <v>5</v>
      </c>
      <c r="G46" s="368">
        <v>0.01</v>
      </c>
      <c r="H46" s="364">
        <f t="shared" si="3"/>
        <v>0</v>
      </c>
      <c r="I46" s="365">
        <v>9.4</v>
      </c>
      <c r="J46" s="366">
        <f t="shared" si="1"/>
        <v>25.753424657534246</v>
      </c>
      <c r="K46" s="364">
        <f t="shared" si="2"/>
        <v>0</v>
      </c>
    </row>
    <row r="47" spans="1:11" ht="12.95" customHeight="1" x14ac:dyDescent="0.25">
      <c r="A47" s="361" t="s">
        <v>369</v>
      </c>
      <c r="B47" s="361"/>
      <c r="C47" s="320"/>
      <c r="D47" s="320"/>
      <c r="E47" s="320"/>
      <c r="F47" s="365">
        <v>20</v>
      </c>
      <c r="G47" s="368">
        <v>0.04</v>
      </c>
      <c r="H47" s="364">
        <f t="shared" si="3"/>
        <v>0</v>
      </c>
      <c r="I47" s="365">
        <v>9.4</v>
      </c>
      <c r="J47" s="366">
        <f t="shared" si="1"/>
        <v>25.753424657534246</v>
      </c>
      <c r="K47" s="364">
        <f t="shared" si="2"/>
        <v>0</v>
      </c>
    </row>
    <row r="48" spans="1:11" ht="12.95" customHeight="1" x14ac:dyDescent="0.25">
      <c r="A48" s="361" t="s">
        <v>370</v>
      </c>
      <c r="B48" s="361"/>
      <c r="C48" s="320"/>
      <c r="D48" s="320"/>
      <c r="E48" s="320"/>
      <c r="F48" s="365">
        <v>10</v>
      </c>
      <c r="G48" s="368">
        <v>0.02</v>
      </c>
      <c r="H48" s="364">
        <f t="shared" si="3"/>
        <v>0</v>
      </c>
      <c r="I48" s="365">
        <v>9.4</v>
      </c>
      <c r="J48" s="366">
        <f t="shared" si="1"/>
        <v>25.753424657534246</v>
      </c>
      <c r="K48" s="364">
        <f t="shared" si="2"/>
        <v>0</v>
      </c>
    </row>
    <row r="49" spans="1:13" ht="5.25" customHeight="1" x14ac:dyDescent="0.25">
      <c r="A49" s="369"/>
      <c r="B49" s="369"/>
      <c r="C49" s="370"/>
      <c r="D49" s="370"/>
      <c r="E49" s="370"/>
      <c r="F49" s="371"/>
      <c r="G49" s="372"/>
      <c r="H49" s="373"/>
      <c r="I49" s="371"/>
      <c r="J49" s="374"/>
      <c r="K49" s="373"/>
    </row>
    <row r="50" spans="1:13" ht="30.75" customHeight="1" x14ac:dyDescent="0.25">
      <c r="A50" s="354" t="s">
        <v>333</v>
      </c>
      <c r="B50" s="354" t="s">
        <v>574</v>
      </c>
      <c r="C50" s="354" t="s">
        <v>569</v>
      </c>
      <c r="D50" s="354" t="s">
        <v>580</v>
      </c>
      <c r="E50" s="354" t="s">
        <v>581</v>
      </c>
      <c r="F50" s="354" t="s">
        <v>372</v>
      </c>
      <c r="G50" s="354" t="s">
        <v>619</v>
      </c>
      <c r="H50" s="354" t="s">
        <v>392</v>
      </c>
      <c r="I50" s="354" t="s">
        <v>617</v>
      </c>
      <c r="J50" s="354" t="s">
        <v>618</v>
      </c>
      <c r="K50" s="354" t="s">
        <v>616</v>
      </c>
    </row>
    <row r="51" spans="1:13" ht="12.95" customHeight="1" x14ac:dyDescent="0.25">
      <c r="A51" s="375" t="s">
        <v>649</v>
      </c>
      <c r="B51" s="376"/>
      <c r="C51" s="377"/>
      <c r="D51" s="378"/>
      <c r="E51" s="378"/>
      <c r="F51" s="376"/>
      <c r="G51" s="376"/>
      <c r="H51" s="378"/>
      <c r="I51" s="379">
        <v>8.6</v>
      </c>
      <c r="J51" s="380">
        <f>I51/365*1000</f>
        <v>23.561643835616437</v>
      </c>
      <c r="K51" s="378">
        <f>SUM(K52:K61)</f>
        <v>0</v>
      </c>
    </row>
    <row r="52" spans="1:13" ht="12.95" customHeight="1" x14ac:dyDescent="0.25">
      <c r="A52" s="321" t="s">
        <v>595</v>
      </c>
      <c r="B52" s="320">
        <v>100</v>
      </c>
      <c r="C52" s="320"/>
      <c r="D52" s="320"/>
      <c r="E52" s="320"/>
      <c r="F52" s="365">
        <f>B52</f>
        <v>100</v>
      </c>
      <c r="G52" s="363">
        <f>F52/500</f>
        <v>0.2</v>
      </c>
      <c r="H52" s="364">
        <f t="shared" ref="H52:H61" si="4">C52*G52</f>
        <v>0</v>
      </c>
      <c r="I52" s="365">
        <v>8.6</v>
      </c>
      <c r="J52" s="381">
        <f t="shared" ref="J52:J61" si="5">I52/365*1000</f>
        <v>23.561643835616437</v>
      </c>
      <c r="K52" s="364">
        <f t="shared" ref="K52:K61" si="6">(D52*E52/24)*H52*J52/1000</f>
        <v>0</v>
      </c>
      <c r="M52" s="261"/>
    </row>
    <row r="53" spans="1:13" ht="12.95" customHeight="1" x14ac:dyDescent="0.25">
      <c r="A53" s="321" t="s">
        <v>596</v>
      </c>
      <c r="B53" s="320">
        <v>30</v>
      </c>
      <c r="C53" s="320"/>
      <c r="D53" s="320"/>
      <c r="E53" s="320"/>
      <c r="F53" s="365">
        <f t="shared" ref="F53:F61" si="7">B53</f>
        <v>30</v>
      </c>
      <c r="G53" s="363">
        <f t="shared" ref="G53:G61" si="8">F53/500</f>
        <v>0.06</v>
      </c>
      <c r="H53" s="364">
        <f t="shared" si="4"/>
        <v>0</v>
      </c>
      <c r="I53" s="365">
        <v>8.6</v>
      </c>
      <c r="J53" s="381">
        <f t="shared" si="5"/>
        <v>23.561643835616437</v>
      </c>
      <c r="K53" s="364">
        <f t="shared" si="6"/>
        <v>0</v>
      </c>
    </row>
    <row r="54" spans="1:13" ht="12.95" customHeight="1" x14ac:dyDescent="0.25">
      <c r="A54" s="321" t="s">
        <v>597</v>
      </c>
      <c r="B54" s="320">
        <v>50</v>
      </c>
      <c r="C54" s="320"/>
      <c r="D54" s="320"/>
      <c r="E54" s="320"/>
      <c r="F54" s="365">
        <f t="shared" si="7"/>
        <v>50</v>
      </c>
      <c r="G54" s="363">
        <f t="shared" si="8"/>
        <v>0.1</v>
      </c>
      <c r="H54" s="364">
        <f t="shared" si="4"/>
        <v>0</v>
      </c>
      <c r="I54" s="365">
        <v>8.6</v>
      </c>
      <c r="J54" s="381">
        <f t="shared" si="5"/>
        <v>23.561643835616437</v>
      </c>
      <c r="K54" s="364">
        <f t="shared" si="6"/>
        <v>0</v>
      </c>
    </row>
    <row r="55" spans="1:13" ht="12.95" customHeight="1" x14ac:dyDescent="0.25">
      <c r="A55" s="321" t="s">
        <v>570</v>
      </c>
      <c r="B55" s="320">
        <v>500</v>
      </c>
      <c r="C55" s="320"/>
      <c r="D55" s="320"/>
      <c r="E55" s="320"/>
      <c r="F55" s="365">
        <f t="shared" si="7"/>
        <v>500</v>
      </c>
      <c r="G55" s="363">
        <f t="shared" si="8"/>
        <v>1</v>
      </c>
      <c r="H55" s="364">
        <f t="shared" si="4"/>
        <v>0</v>
      </c>
      <c r="I55" s="365">
        <v>8.6</v>
      </c>
      <c r="J55" s="381">
        <f t="shared" si="5"/>
        <v>23.561643835616437</v>
      </c>
      <c r="K55" s="364">
        <f t="shared" si="6"/>
        <v>0</v>
      </c>
    </row>
    <row r="56" spans="1:13" ht="12.95" customHeight="1" x14ac:dyDescent="0.25">
      <c r="A56" s="321" t="s">
        <v>571</v>
      </c>
      <c r="B56" s="320">
        <v>600</v>
      </c>
      <c r="C56" s="320"/>
      <c r="D56" s="320"/>
      <c r="E56" s="320"/>
      <c r="F56" s="365">
        <f t="shared" si="7"/>
        <v>600</v>
      </c>
      <c r="G56" s="363">
        <f t="shared" si="8"/>
        <v>1.2</v>
      </c>
      <c r="H56" s="364">
        <f t="shared" si="4"/>
        <v>0</v>
      </c>
      <c r="I56" s="365">
        <v>8.6</v>
      </c>
      <c r="J56" s="381">
        <f t="shared" si="5"/>
        <v>23.561643835616437</v>
      </c>
      <c r="K56" s="364">
        <f t="shared" si="6"/>
        <v>0</v>
      </c>
    </row>
    <row r="57" spans="1:13" ht="12.95" customHeight="1" x14ac:dyDescent="0.25">
      <c r="A57" s="321" t="s">
        <v>572</v>
      </c>
      <c r="B57" s="320">
        <v>130</v>
      </c>
      <c r="C57" s="320"/>
      <c r="D57" s="320"/>
      <c r="E57" s="320"/>
      <c r="F57" s="365">
        <f t="shared" si="7"/>
        <v>130</v>
      </c>
      <c r="G57" s="363">
        <f t="shared" si="8"/>
        <v>0.26</v>
      </c>
      <c r="H57" s="364">
        <f t="shared" si="4"/>
        <v>0</v>
      </c>
      <c r="I57" s="365">
        <v>8.6</v>
      </c>
      <c r="J57" s="381">
        <f t="shared" si="5"/>
        <v>23.561643835616437</v>
      </c>
      <c r="K57" s="364">
        <f t="shared" si="6"/>
        <v>0</v>
      </c>
    </row>
    <row r="58" spans="1:13" ht="12.95" customHeight="1" x14ac:dyDescent="0.25">
      <c r="A58" s="321" t="s">
        <v>573</v>
      </c>
      <c r="B58" s="320">
        <v>60</v>
      </c>
      <c r="C58" s="320"/>
      <c r="D58" s="320"/>
      <c r="E58" s="320"/>
      <c r="F58" s="365">
        <f t="shared" si="7"/>
        <v>60</v>
      </c>
      <c r="G58" s="363">
        <f t="shared" si="8"/>
        <v>0.12</v>
      </c>
      <c r="H58" s="364">
        <f t="shared" si="4"/>
        <v>0</v>
      </c>
      <c r="I58" s="365">
        <v>8.6</v>
      </c>
      <c r="J58" s="381">
        <f t="shared" si="5"/>
        <v>23.561643835616437</v>
      </c>
      <c r="K58" s="364">
        <f t="shared" si="6"/>
        <v>0</v>
      </c>
    </row>
    <row r="59" spans="1:13" ht="12.95" customHeight="1" x14ac:dyDescent="0.25">
      <c r="A59" s="321" t="s">
        <v>648</v>
      </c>
      <c r="B59" s="320">
        <v>600</v>
      </c>
      <c r="C59" s="320"/>
      <c r="D59" s="320"/>
      <c r="E59" s="320"/>
      <c r="F59" s="365">
        <f t="shared" si="7"/>
        <v>600</v>
      </c>
      <c r="G59" s="363">
        <f t="shared" si="8"/>
        <v>1.2</v>
      </c>
      <c r="H59" s="364">
        <f t="shared" si="4"/>
        <v>0</v>
      </c>
      <c r="I59" s="365">
        <v>8.6</v>
      </c>
      <c r="J59" s="381">
        <f t="shared" si="5"/>
        <v>23.561643835616437</v>
      </c>
      <c r="K59" s="364">
        <f t="shared" si="6"/>
        <v>0</v>
      </c>
    </row>
    <row r="60" spans="1:13" ht="12.95" customHeight="1" x14ac:dyDescent="0.25">
      <c r="A60" s="321"/>
      <c r="B60" s="320"/>
      <c r="C60" s="320"/>
      <c r="D60" s="320"/>
      <c r="E60" s="320"/>
      <c r="F60" s="365">
        <f t="shared" si="7"/>
        <v>0</v>
      </c>
      <c r="G60" s="363">
        <f t="shared" si="8"/>
        <v>0</v>
      </c>
      <c r="H60" s="364">
        <f t="shared" si="4"/>
        <v>0</v>
      </c>
      <c r="I60" s="365">
        <v>8.6</v>
      </c>
      <c r="J60" s="381">
        <f t="shared" si="5"/>
        <v>23.561643835616437</v>
      </c>
      <c r="K60" s="364">
        <f t="shared" si="6"/>
        <v>0</v>
      </c>
    </row>
    <row r="61" spans="1:13" ht="12.95" customHeight="1" x14ac:dyDescent="0.25">
      <c r="A61" s="321"/>
      <c r="B61" s="320"/>
      <c r="C61" s="320"/>
      <c r="D61" s="320"/>
      <c r="E61" s="320"/>
      <c r="F61" s="365">
        <f t="shared" si="7"/>
        <v>0</v>
      </c>
      <c r="G61" s="363">
        <f t="shared" si="8"/>
        <v>0</v>
      </c>
      <c r="H61" s="364">
        <f t="shared" si="4"/>
        <v>0</v>
      </c>
      <c r="I61" s="365">
        <v>8.6</v>
      </c>
      <c r="J61" s="381">
        <f t="shared" si="5"/>
        <v>23.561643835616437</v>
      </c>
      <c r="K61" s="364">
        <f t="shared" si="6"/>
        <v>0</v>
      </c>
    </row>
    <row r="62" spans="1:13" ht="12.95" customHeight="1" x14ac:dyDescent="0.25"/>
    <row r="63" spans="1:13" ht="12.95" customHeight="1" x14ac:dyDescent="0.25">
      <c r="A63" s="382" t="s">
        <v>378</v>
      </c>
      <c r="B63" s="382"/>
      <c r="C63" s="383"/>
      <c r="D63" s="384"/>
      <c r="E63" s="384"/>
      <c r="F63" s="382"/>
      <c r="G63" s="382"/>
      <c r="H63" s="384"/>
      <c r="I63" s="382"/>
      <c r="J63" s="382"/>
      <c r="K63" s="384">
        <f>K3+K12+K15+K20+K25+K27+K31+K37+K51</f>
        <v>0</v>
      </c>
    </row>
    <row r="64" spans="1:13" x14ac:dyDescent="0.25">
      <c r="H64" s="351"/>
    </row>
    <row r="65" spans="1:11" x14ac:dyDescent="0.25">
      <c r="A65" s="5" t="str">
        <f>Plod.24!B83</f>
        <v>Verze 1 (15. 4. 2025); kontakty (CARC): www.carc.cz, Ing. Jan Klír, CSc. (603 520 684; jan.klir@carc.cz), Ing. Lada Kozlovská (733 375 632; lada.kozlovska@carc.cz)</v>
      </c>
      <c r="B65" s="5"/>
      <c r="C65" s="5"/>
      <c r="D65" s="5"/>
      <c r="E65" s="5"/>
      <c r="F65" s="5"/>
      <c r="G65" s="5"/>
      <c r="H65" s="5"/>
      <c r="I65" s="5"/>
      <c r="J65" s="5"/>
      <c r="K65" s="5"/>
    </row>
  </sheetData>
  <sheetProtection algorithmName="SHA-512" hashValue="sSbRqXG0+Sv8eNFrj1JMIWuhOex8sDILxp4idbnwMAuUXfjHxQCIjq97/iQQv5ye7lKa+8kgqWJJ4pKTfEu3og==" saltValue="NJdYxbS1mHWtHq3sNj8TpQ==" spinCount="100000" sheet="1" objects="1" scenarios="1" formatCells="0" formatColumns="0" formatRows="0" selectLockedCells="1"/>
  <mergeCells count="1">
    <mergeCell ref="A1:K1"/>
  </mergeCells>
  <pageMargins left="0.7" right="0.7" top="0.78740157499999996" bottom="0.78740157499999996" header="0.3" footer="0.3"/>
  <pageSetup paperSize="9" orientation="portrait" r:id="rId1"/>
  <ignoredErrors>
    <ignoredError sqref="H27 K12 K15 K20 K25 K27 K31 K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6190-0EF3-445C-92D8-EBA99E6B8AAC}">
  <sheetPr>
    <tabColor theme="8" tint="0.59999389629810485"/>
  </sheetPr>
  <dimension ref="B1:P35"/>
  <sheetViews>
    <sheetView showGridLines="0" zoomScale="90" zoomScaleNormal="90" workbookViewId="0">
      <selection activeCell="B2" sqref="B2:I2"/>
    </sheetView>
  </sheetViews>
  <sheetFormatPr defaultRowHeight="15" x14ac:dyDescent="0.25"/>
  <cols>
    <col min="1" max="1" width="0.28515625" customWidth="1"/>
    <col min="2" max="2" width="30.42578125" customWidth="1"/>
    <col min="3" max="5" width="12.140625" customWidth="1"/>
    <col min="6" max="6" width="1.42578125" customWidth="1"/>
    <col min="7" max="7" width="46.42578125" customWidth="1"/>
    <col min="8" max="9" width="12.85546875" customWidth="1"/>
    <col min="10" max="10" width="0.42578125" customWidth="1"/>
    <col min="11" max="11" width="1.5703125" customWidth="1"/>
    <col min="12" max="13" width="20.5703125" customWidth="1"/>
    <col min="14" max="14" width="21.42578125" customWidth="1"/>
    <col min="15" max="15" width="8.28515625" customWidth="1"/>
    <col min="16" max="17" width="13" customWidth="1"/>
    <col min="18" max="22" width="8.42578125" customWidth="1"/>
  </cols>
  <sheetData>
    <row r="1" spans="2:16" ht="45" customHeight="1" x14ac:dyDescent="0.25">
      <c r="B1" s="810" t="s">
        <v>633</v>
      </c>
      <c r="C1" s="810"/>
      <c r="D1" s="810"/>
      <c r="E1" s="810"/>
      <c r="F1" s="810"/>
      <c r="G1" s="810"/>
      <c r="H1" s="810"/>
      <c r="I1" s="810"/>
      <c r="J1" s="117"/>
      <c r="K1" s="117"/>
      <c r="L1" s="117"/>
      <c r="M1" s="117"/>
    </row>
    <row r="2" spans="2:16" ht="36.75" customHeight="1" x14ac:dyDescent="0.25">
      <c r="B2" s="811" t="s">
        <v>630</v>
      </c>
      <c r="C2" s="811"/>
      <c r="D2" s="811"/>
      <c r="E2" s="811"/>
      <c r="F2" s="811"/>
      <c r="G2" s="811"/>
      <c r="H2" s="811"/>
      <c r="I2" s="811"/>
      <c r="J2" s="117"/>
      <c r="K2" s="117"/>
      <c r="L2" s="117"/>
      <c r="M2" s="117"/>
    </row>
    <row r="3" spans="2:16" ht="19.5" customHeight="1" x14ac:dyDescent="0.25">
      <c r="B3" s="812" t="s">
        <v>236</v>
      </c>
      <c r="C3" s="812"/>
      <c r="D3" s="812"/>
      <c r="G3" s="812" t="s">
        <v>234</v>
      </c>
      <c r="H3" s="812"/>
    </row>
    <row r="4" spans="2:16" ht="18" customHeight="1" x14ac:dyDescent="0.25">
      <c r="B4" s="336" t="s">
        <v>73</v>
      </c>
      <c r="C4" s="815" t="str">
        <f>IF(Plod.24!G2=0,"",Plod.24!G2)</f>
        <v/>
      </c>
      <c r="D4" s="815"/>
      <c r="E4" s="815"/>
      <c r="G4" s="814" t="s">
        <v>213</v>
      </c>
      <c r="H4" s="814"/>
      <c r="I4" s="325" t="s">
        <v>147</v>
      </c>
      <c r="J4" s="258"/>
      <c r="K4" s="258"/>
      <c r="L4" s="822" t="s">
        <v>638</v>
      </c>
      <c r="M4" s="822"/>
      <c r="N4" s="822"/>
      <c r="O4" s="822"/>
    </row>
    <row r="5" spans="2:16" ht="18" customHeight="1" x14ac:dyDescent="0.25">
      <c r="B5" s="336" t="s">
        <v>212</v>
      </c>
      <c r="C5" s="816">
        <v>2025</v>
      </c>
      <c r="D5" s="816"/>
      <c r="E5" s="816"/>
      <c r="G5" s="813" t="s">
        <v>650</v>
      </c>
      <c r="H5" s="813"/>
      <c r="I5" s="327">
        <f>IF(Plod.25!D5=0,0,Plod.25!D5)</f>
        <v>0</v>
      </c>
      <c r="J5" s="322"/>
      <c r="K5" s="322"/>
      <c r="L5" s="822"/>
      <c r="M5" s="822"/>
      <c r="N5" s="822"/>
      <c r="O5" s="822"/>
    </row>
    <row r="6" spans="2:16" ht="18" customHeight="1" x14ac:dyDescent="0.25">
      <c r="B6" s="336" t="s">
        <v>74</v>
      </c>
      <c r="C6" s="815" t="s">
        <v>210</v>
      </c>
      <c r="D6" s="815"/>
      <c r="E6" s="815"/>
      <c r="G6" s="812" t="s">
        <v>235</v>
      </c>
      <c r="H6" s="812"/>
      <c r="I6" s="812"/>
      <c r="J6" s="115"/>
      <c r="K6" s="115"/>
      <c r="L6" s="822"/>
      <c r="M6" s="822"/>
      <c r="N6" s="822"/>
      <c r="O6" s="822"/>
    </row>
    <row r="7" spans="2:16" ht="33.75" customHeight="1" thickBot="1" x14ac:dyDescent="0.3">
      <c r="B7" s="818" t="s">
        <v>634</v>
      </c>
      <c r="C7" s="818"/>
      <c r="D7" s="818"/>
      <c r="E7" s="818"/>
      <c r="F7" s="193"/>
      <c r="G7" s="336" t="s">
        <v>222</v>
      </c>
      <c r="H7" s="340" t="s">
        <v>228</v>
      </c>
      <c r="I7" s="336" t="s">
        <v>217</v>
      </c>
      <c r="J7" s="193"/>
      <c r="K7" s="258"/>
      <c r="L7" s="575"/>
      <c r="M7" s="576" t="s">
        <v>576</v>
      </c>
      <c r="N7" s="120"/>
      <c r="O7" s="120"/>
    </row>
    <row r="8" spans="2:16" ht="19.5" customHeight="1" x14ac:dyDescent="0.25">
      <c r="B8" s="814" t="s">
        <v>214</v>
      </c>
      <c r="C8" s="814"/>
      <c r="D8" s="337">
        <f>IF(C5=0,"",C5-1)</f>
        <v>2024</v>
      </c>
      <c r="E8" s="337">
        <v>2025</v>
      </c>
      <c r="F8" s="252"/>
      <c r="G8" s="342" t="s">
        <v>229</v>
      </c>
      <c r="H8" s="323"/>
      <c r="I8" s="341">
        <v>1.5</v>
      </c>
      <c r="J8" s="202"/>
      <c r="K8" s="324"/>
      <c r="L8" s="577" t="s">
        <v>314</v>
      </c>
      <c r="M8" s="578" t="s">
        <v>668</v>
      </c>
      <c r="N8" s="821" t="s">
        <v>669</v>
      </c>
      <c r="O8" s="821"/>
    </row>
    <row r="9" spans="2:16" ht="18" customHeight="1" x14ac:dyDescent="0.25">
      <c r="B9" s="814" t="s">
        <v>76</v>
      </c>
      <c r="C9" s="814"/>
      <c r="D9" s="325" t="s">
        <v>215</v>
      </c>
      <c r="E9" s="325" t="s">
        <v>297</v>
      </c>
      <c r="G9" s="342" t="s">
        <v>230</v>
      </c>
      <c r="H9" s="326"/>
      <c r="I9" s="341">
        <v>1</v>
      </c>
      <c r="J9" s="202"/>
      <c r="K9" s="324"/>
      <c r="L9" s="572">
        <f>Plod.24!D5</f>
        <v>0</v>
      </c>
      <c r="M9" s="579">
        <f>Plod.25!D5</f>
        <v>0</v>
      </c>
      <c r="N9" s="572">
        <f>M9-L9</f>
        <v>0</v>
      </c>
      <c r="O9" s="574" t="str">
        <f>IF(L9=0,"",N9/L9)</f>
        <v/>
      </c>
    </row>
    <row r="10" spans="2:16" ht="22.5" customHeight="1" x14ac:dyDescent="0.25">
      <c r="B10" s="813" t="s">
        <v>220</v>
      </c>
      <c r="C10" s="813"/>
      <c r="D10" s="327">
        <f>Plod.24!V80/1000</f>
        <v>0</v>
      </c>
      <c r="E10" s="327">
        <f>Plod.25!U80/1000</f>
        <v>0</v>
      </c>
      <c r="G10" s="342" t="s">
        <v>231</v>
      </c>
      <c r="H10" s="326"/>
      <c r="I10" s="341">
        <v>0.5</v>
      </c>
      <c r="J10" s="202"/>
      <c r="K10" s="324"/>
      <c r="L10" s="823" t="str">
        <f>IF(L9&gt;M9,"Výměra v roce 2024 je vyšší než výměra v roce 2024. Pokud došlo
k vydání půdy, tyto plochy v roce 2024 neuvádějte (list Plod.24). Je-li rozdíl způsoben jen změnou kultur, měřením apod., toto upozornění ignorujte.","")</f>
        <v/>
      </c>
      <c r="M10" s="823"/>
      <c r="N10" s="823"/>
      <c r="O10" s="823"/>
      <c r="P10" s="571"/>
    </row>
    <row r="11" spans="2:16" ht="18" customHeight="1" x14ac:dyDescent="0.25">
      <c r="B11" s="813" t="s">
        <v>221</v>
      </c>
      <c r="C11" s="813"/>
      <c r="D11" s="327">
        <f>Plod.24!Y80/1000</f>
        <v>0</v>
      </c>
      <c r="E11" s="327">
        <f>Plod.25!X80/1000</f>
        <v>0</v>
      </c>
      <c r="G11" s="342" t="s">
        <v>232</v>
      </c>
      <c r="H11" s="326"/>
      <c r="I11" s="341">
        <v>0</v>
      </c>
      <c r="J11" s="202"/>
      <c r="K11" s="324"/>
      <c r="L11" s="824"/>
      <c r="M11" s="824"/>
      <c r="N11" s="824"/>
      <c r="O11" s="824"/>
      <c r="P11" s="571"/>
    </row>
    <row r="12" spans="2:16" ht="18" customHeight="1" thickBot="1" x14ac:dyDescent="0.3">
      <c r="B12" s="814" t="s">
        <v>216</v>
      </c>
      <c r="C12" s="814"/>
      <c r="D12" s="338">
        <f>SUM(D10:D11)</f>
        <v>0</v>
      </c>
      <c r="E12" s="338">
        <f>SUM(E10:E11)</f>
        <v>0</v>
      </c>
      <c r="F12" s="328"/>
      <c r="G12" s="342" t="s">
        <v>233</v>
      </c>
      <c r="H12" s="329"/>
      <c r="I12" s="341">
        <v>0</v>
      </c>
      <c r="J12" s="202"/>
      <c r="K12" s="324"/>
      <c r="L12" s="824"/>
      <c r="M12" s="824"/>
      <c r="N12" s="824"/>
      <c r="O12" s="824"/>
    </row>
    <row r="13" spans="2:16" ht="18" customHeight="1" x14ac:dyDescent="0.25">
      <c r="B13" s="818" t="s">
        <v>635</v>
      </c>
      <c r="C13" s="818"/>
      <c r="D13" s="818"/>
      <c r="E13" s="818"/>
      <c r="F13" s="328"/>
      <c r="G13" s="339" t="s">
        <v>218</v>
      </c>
      <c r="H13" s="334">
        <f>H14-(SUM(H8:H12))</f>
        <v>0</v>
      </c>
      <c r="I13" s="327">
        <v>1</v>
      </c>
      <c r="J13" s="202"/>
      <c r="K13" s="324"/>
      <c r="L13" s="819" t="str">
        <f>IF(L9&gt;M9,"","Průměrný odběr fosforu v roce 2024 (plochy a výnosy 2024)")</f>
        <v>Průměrný odběr fosforu v roce 2024 (plochy a výnosy 2024)</v>
      </c>
      <c r="M13" s="819"/>
      <c r="N13" s="819"/>
      <c r="O13" s="589">
        <f>IF(L9=0,0,IF(L9&gt;M9,"",D12/L9*1000))</f>
        <v>0</v>
      </c>
      <c r="P13" s="590" t="str">
        <f>IF(L9&gt;M9,"","kg P/ha")</f>
        <v>kg P/ha</v>
      </c>
    </row>
    <row r="14" spans="2:16" ht="18" customHeight="1" x14ac:dyDescent="0.25">
      <c r="B14" s="818"/>
      <c r="C14" s="818"/>
      <c r="D14" s="818"/>
      <c r="E14" s="818"/>
      <c r="F14" s="328"/>
      <c r="G14" s="336" t="s">
        <v>604</v>
      </c>
      <c r="H14" s="338">
        <f>Plod.25!D5</f>
        <v>0</v>
      </c>
      <c r="I14" s="338">
        <f>IF(H14=0,0,(H8*I8+H9*I9+H10*I10+H11*I11+H12*I12+H13*I13)/H14)</f>
        <v>0</v>
      </c>
      <c r="J14" s="333"/>
      <c r="K14" s="270"/>
      <c r="L14" s="820" t="str">
        <f>IF(L9&gt;M9,"","Vypočtený celkový odběr fosforu (vztaženo k výměře pro JŽ 2025)")</f>
        <v>Vypočtený celkový odběr fosforu (vztaženo k výměře pro JŽ 2025)</v>
      </c>
      <c r="M14" s="820"/>
      <c r="N14" s="820"/>
      <c r="O14" s="589">
        <f>IF(L9&gt;M9,"",M9*O13/1000)</f>
        <v>0</v>
      </c>
      <c r="P14" s="590" t="str">
        <f>IF(L9&gt;M9,"","t P")</f>
        <v>t P</v>
      </c>
    </row>
    <row r="15" spans="2:16" ht="18" customHeight="1" x14ac:dyDescent="0.25">
      <c r="B15" s="336" t="s">
        <v>74</v>
      </c>
      <c r="C15" s="325" t="str">
        <f>IF(C6=0,"",C6)</f>
        <v>2024/2025</v>
      </c>
      <c r="D15" s="325" t="str">
        <f>C15</f>
        <v>2024/2025</v>
      </c>
      <c r="E15" s="325" t="str">
        <f>D15</f>
        <v>2024/2025</v>
      </c>
      <c r="F15" s="328"/>
      <c r="G15" s="812" t="s">
        <v>625</v>
      </c>
      <c r="H15" s="812"/>
      <c r="L15" s="825" t="s">
        <v>605</v>
      </c>
      <c r="M15" s="825"/>
      <c r="N15" s="825"/>
      <c r="O15" s="825"/>
      <c r="P15" s="825"/>
    </row>
    <row r="16" spans="2:16" ht="18.75" customHeight="1" x14ac:dyDescent="0.25">
      <c r="B16" s="336" t="s">
        <v>76</v>
      </c>
      <c r="C16" s="325" t="s">
        <v>602</v>
      </c>
      <c r="D16" s="325" t="s">
        <v>215</v>
      </c>
      <c r="E16" s="325" t="s">
        <v>297</v>
      </c>
      <c r="G16" s="336" t="s">
        <v>76</v>
      </c>
      <c r="H16" s="325" t="s">
        <v>621</v>
      </c>
      <c r="I16" s="325" t="s">
        <v>622</v>
      </c>
      <c r="J16" s="258"/>
      <c r="L16" s="826" t="s">
        <v>76</v>
      </c>
      <c r="M16" s="826"/>
      <c r="N16" s="826"/>
      <c r="O16" s="826"/>
      <c r="P16" s="343" t="s">
        <v>77</v>
      </c>
    </row>
    <row r="17" spans="2:16" ht="18" customHeight="1" x14ac:dyDescent="0.25">
      <c r="B17" s="339" t="s">
        <v>75</v>
      </c>
      <c r="C17" s="327">
        <f>IF('M.24-25ev'!D7=0,'M.24-25'!G75,'M.24-25ev'!D7)</f>
        <v>0</v>
      </c>
      <c r="D17" s="327">
        <f>C17*0.436</f>
        <v>0</v>
      </c>
      <c r="E17" s="327">
        <f>IF('M.24-25ev'!D6=0,'M.24-25'!F75,'M.24-25ev'!D6)</f>
        <v>0</v>
      </c>
      <c r="F17" s="193"/>
      <c r="G17" s="339" t="s">
        <v>623</v>
      </c>
      <c r="H17" s="327">
        <f>IF(L9&gt;M9,D12,O14)</f>
        <v>0</v>
      </c>
      <c r="I17" s="327">
        <f>P17</f>
        <v>0</v>
      </c>
      <c r="L17" s="817" t="s">
        <v>388</v>
      </c>
      <c r="M17" s="817"/>
      <c r="N17" s="817"/>
      <c r="O17" s="817"/>
      <c r="P17" s="344">
        <f>E12</f>
        <v>0</v>
      </c>
    </row>
    <row r="18" spans="2:16" ht="18" customHeight="1" x14ac:dyDescent="0.25">
      <c r="B18" s="339" t="s">
        <v>636</v>
      </c>
      <c r="C18" s="327">
        <f>'O.24-25'!L80+'O.24-25'!L81</f>
        <v>0</v>
      </c>
      <c r="D18" s="327">
        <f>C18*0.436</f>
        <v>0</v>
      </c>
      <c r="E18" s="327">
        <f>'O.24-25'!K80+'O.24-25'!K81</f>
        <v>0</v>
      </c>
      <c r="F18" s="193"/>
      <c r="G18" s="339" t="s">
        <v>603</v>
      </c>
      <c r="H18" s="327">
        <f>I14</f>
        <v>0</v>
      </c>
      <c r="I18" s="327" t="s">
        <v>387</v>
      </c>
      <c r="J18" s="322"/>
      <c r="L18" s="817" t="s">
        <v>389</v>
      </c>
      <c r="M18" s="817"/>
      <c r="N18" s="817"/>
      <c r="O18" s="817"/>
      <c r="P18" s="344">
        <f>E23</f>
        <v>0</v>
      </c>
    </row>
    <row r="19" spans="2:16" ht="18" customHeight="1" x14ac:dyDescent="0.25">
      <c r="B19" s="339" t="s">
        <v>223</v>
      </c>
      <c r="C19" s="327">
        <f>'O.24-25'!L82</f>
        <v>0</v>
      </c>
      <c r="D19" s="327">
        <f>C19*0.436</f>
        <v>0</v>
      </c>
      <c r="E19" s="327">
        <f>'O.24-25'!K82</f>
        <v>0</v>
      </c>
      <c r="F19" s="252"/>
      <c r="G19" s="339" t="s">
        <v>226</v>
      </c>
      <c r="H19" s="327">
        <f>IF(H14=0,0,H17*H18)</f>
        <v>0</v>
      </c>
      <c r="I19" s="327" t="s">
        <v>387</v>
      </c>
      <c r="J19" s="322"/>
      <c r="L19" s="817" t="s">
        <v>390</v>
      </c>
      <c r="M19" s="817"/>
      <c r="N19" s="817"/>
      <c r="O19" s="817"/>
      <c r="P19" s="344">
        <f>P18-P17</f>
        <v>0</v>
      </c>
    </row>
    <row r="20" spans="2:16" ht="18" customHeight="1" x14ac:dyDescent="0.25">
      <c r="B20" s="339" t="s">
        <v>224</v>
      </c>
      <c r="C20" s="327">
        <f>'O.24-25'!L83</f>
        <v>0</v>
      </c>
      <c r="D20" s="327">
        <f>C20*0.436</f>
        <v>0</v>
      </c>
      <c r="E20" s="327">
        <f>'O.24-25'!K83</f>
        <v>0</v>
      </c>
      <c r="F20" s="252"/>
      <c r="G20" s="339" t="s">
        <v>624</v>
      </c>
      <c r="H20" s="327">
        <f>D23</f>
        <v>0</v>
      </c>
      <c r="I20" s="327">
        <f>P18</f>
        <v>0</v>
      </c>
      <c r="L20" s="817" t="s">
        <v>620</v>
      </c>
      <c r="M20" s="817"/>
      <c r="N20" s="817"/>
      <c r="O20" s="817"/>
      <c r="P20" s="344">
        <f>Ztr.25!I82</f>
        <v>0</v>
      </c>
    </row>
    <row r="21" spans="2:16" ht="18" customHeight="1" x14ac:dyDescent="0.25">
      <c r="B21" s="339" t="s">
        <v>225</v>
      </c>
      <c r="C21" s="327">
        <f>'O.24-25'!L84</f>
        <v>0</v>
      </c>
      <c r="D21" s="327">
        <f>C21*0.436</f>
        <v>0</v>
      </c>
      <c r="E21" s="327">
        <f>'O.24-25'!K84</f>
        <v>0</v>
      </c>
      <c r="F21" s="252"/>
      <c r="G21" s="339" t="s">
        <v>628</v>
      </c>
      <c r="H21" s="327">
        <f>IF(H14=0,0,H20-H19)</f>
        <v>0</v>
      </c>
      <c r="I21" s="327">
        <f>P21</f>
        <v>0</v>
      </c>
      <c r="L21" s="817" t="s">
        <v>631</v>
      </c>
      <c r="M21" s="817"/>
      <c r="N21" s="817"/>
      <c r="O21" s="817"/>
      <c r="P21" s="344">
        <f>P19-P20</f>
        <v>0</v>
      </c>
    </row>
    <row r="22" spans="2:16" ht="18" customHeight="1" x14ac:dyDescent="0.25">
      <c r="B22" s="339" t="s">
        <v>637</v>
      </c>
      <c r="C22" s="327" t="s">
        <v>387</v>
      </c>
      <c r="D22" s="327" t="s">
        <v>387</v>
      </c>
      <c r="E22" s="327">
        <f>Plod.25!AQ80/1000</f>
        <v>0</v>
      </c>
      <c r="F22" s="252"/>
      <c r="G22" s="339" t="s">
        <v>227</v>
      </c>
      <c r="H22" s="327">
        <f>I5</f>
        <v>0</v>
      </c>
      <c r="I22" s="327">
        <f>P22</f>
        <v>0</v>
      </c>
      <c r="L22" s="817" t="s">
        <v>227</v>
      </c>
      <c r="M22" s="817"/>
      <c r="N22" s="817"/>
      <c r="O22" s="817"/>
      <c r="P22" s="344">
        <f>I5</f>
        <v>0</v>
      </c>
    </row>
    <row r="23" spans="2:16" ht="18" customHeight="1" x14ac:dyDescent="0.25">
      <c r="B23" s="336" t="s">
        <v>219</v>
      </c>
      <c r="C23" s="338">
        <f>SUM(C17:C21)</f>
        <v>0</v>
      </c>
      <c r="D23" s="338">
        <f>SUM(D17:D21)</f>
        <v>0</v>
      </c>
      <c r="E23" s="338">
        <f>SUM(E17:E22)</f>
        <v>0</v>
      </c>
      <c r="F23" s="252"/>
      <c r="G23" s="336" t="s">
        <v>629</v>
      </c>
      <c r="H23" s="332" t="str">
        <f>IF(I5=0,"",H21/H22*1000)</f>
        <v/>
      </c>
      <c r="I23" s="332" t="str">
        <f>P23</f>
        <v/>
      </c>
      <c r="L23" s="826" t="s">
        <v>391</v>
      </c>
      <c r="M23" s="826"/>
      <c r="N23" s="826"/>
      <c r="O23" s="826"/>
      <c r="P23" s="345" t="str">
        <f>IF(I5=0,"",P21/P22*1000)</f>
        <v/>
      </c>
    </row>
    <row r="24" spans="2:16" ht="15" customHeight="1" x14ac:dyDescent="0.25">
      <c r="F24" s="118"/>
      <c r="G24" s="296" t="str">
        <f>IF(M9=0,"",IF(C17+C20=0,"Dodání fosforu pouze v organické formě",""))</f>
        <v/>
      </c>
      <c r="H24" s="331" t="s">
        <v>615</v>
      </c>
      <c r="I24" s="331" t="s">
        <v>615</v>
      </c>
      <c r="J24" s="7"/>
      <c r="K24" s="7"/>
      <c r="L24" s="7"/>
      <c r="M24" s="7"/>
    </row>
    <row r="25" spans="2:16" ht="138" customHeight="1" x14ac:dyDescent="0.25">
      <c r="F25" s="119"/>
      <c r="G25" s="827" t="s">
        <v>626</v>
      </c>
      <c r="H25" s="827"/>
      <c r="I25" s="330" t="s">
        <v>627</v>
      </c>
      <c r="M25" s="245"/>
    </row>
    <row r="26" spans="2:16" ht="15.75" customHeight="1" x14ac:dyDescent="0.25">
      <c r="B26" s="713" t="str">
        <f>Plod.24!B83</f>
        <v>Verze 1 (15. 4. 2025); kontakty (CARC): www.carc.cz, Ing. Jan Klír, CSc. (603 520 684; jan.klir@carc.cz), Ing. Lada Kozlovská (733 375 632; lada.kozlovska@carc.cz)</v>
      </c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</row>
    <row r="27" spans="2:16" ht="18.75" customHeight="1" x14ac:dyDescent="0.25">
      <c r="L27" s="819"/>
      <c r="M27" s="819"/>
      <c r="N27" s="819"/>
      <c r="O27" s="589"/>
      <c r="P27" s="590"/>
    </row>
    <row r="28" spans="2:16" x14ac:dyDescent="0.25">
      <c r="L28" s="820"/>
      <c r="M28" s="820"/>
      <c r="N28" s="820"/>
      <c r="O28" s="589"/>
      <c r="P28" s="590"/>
    </row>
    <row r="30" spans="2:16" ht="14.25" customHeight="1" x14ac:dyDescent="0.25"/>
    <row r="33" spans="6:16" x14ac:dyDescent="0.25">
      <c r="P33" s="111"/>
    </row>
    <row r="35" spans="6:16" x14ac:dyDescent="0.25"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</sheetData>
  <sheetProtection algorithmName="SHA-512" hashValue="1t5PJfb5U7qfBVUvzEk4PiI17A9jmbGBwMiHz39/zul/ZqO7UpmbFNNkrrnrBZxOtjeRlRBhNJTDBB8/CYhpdA==" saltValue="dPTvHCV+e2aisbkrrtToLg==" spinCount="100000" sheet="1" objects="1" scenarios="1" formatCells="0" formatColumns="0" formatRows="0"/>
  <mergeCells count="36">
    <mergeCell ref="L27:N27"/>
    <mergeCell ref="L28:N28"/>
    <mergeCell ref="N8:O8"/>
    <mergeCell ref="L4:O6"/>
    <mergeCell ref="L10:O12"/>
    <mergeCell ref="B26:N26"/>
    <mergeCell ref="B13:E14"/>
    <mergeCell ref="L15:P15"/>
    <mergeCell ref="G15:H15"/>
    <mergeCell ref="B10:C10"/>
    <mergeCell ref="B11:C11"/>
    <mergeCell ref="L21:O21"/>
    <mergeCell ref="L22:O22"/>
    <mergeCell ref="L23:O23"/>
    <mergeCell ref="G25:H25"/>
    <mergeCell ref="L16:O16"/>
    <mergeCell ref="L20:O20"/>
    <mergeCell ref="B7:E7"/>
    <mergeCell ref="B12:C12"/>
    <mergeCell ref="L13:N13"/>
    <mergeCell ref="L14:N14"/>
    <mergeCell ref="B8:C8"/>
    <mergeCell ref="B9:C9"/>
    <mergeCell ref="L17:O17"/>
    <mergeCell ref="L18:O18"/>
    <mergeCell ref="L19:O19"/>
    <mergeCell ref="B1:I1"/>
    <mergeCell ref="B2:I2"/>
    <mergeCell ref="B3:D3"/>
    <mergeCell ref="G3:H3"/>
    <mergeCell ref="G6:I6"/>
    <mergeCell ref="G5:H5"/>
    <mergeCell ref="G4:H4"/>
    <mergeCell ref="C4:E4"/>
    <mergeCell ref="C5:E5"/>
    <mergeCell ref="C6:E6"/>
  </mergeCells>
  <phoneticPr fontId="13" type="noConversion"/>
  <conditionalFormatting sqref="H23">
    <cfRule type="cellIs" dxfId="53" priority="9" stopIfTrue="1" operator="lessThan">
      <formula>-2</formula>
    </cfRule>
    <cfRule type="cellIs" dxfId="52" priority="10" stopIfTrue="1" operator="greaterThan">
      <formula>10</formula>
    </cfRule>
  </conditionalFormatting>
  <conditionalFormatting sqref="I14">
    <cfRule type="cellIs" dxfId="51" priority="1" operator="lessThan">
      <formula>0.3</formula>
    </cfRule>
  </conditionalFormatting>
  <conditionalFormatting sqref="I23 P23">
    <cfRule type="cellIs" dxfId="50" priority="2" stopIfTrue="1" operator="greaterThan">
      <formula>60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990F-1EE9-4C24-96C2-F4354E0B2507}">
  <sheetPr>
    <tabColor rgb="FFDBFFB7"/>
  </sheetPr>
  <dimension ref="A1:U39"/>
  <sheetViews>
    <sheetView showGridLines="0" zoomScale="90" zoomScaleNormal="90" workbookViewId="0">
      <selection activeCell="H31" sqref="H31"/>
    </sheetView>
  </sheetViews>
  <sheetFormatPr defaultRowHeight="15" x14ac:dyDescent="0.25"/>
  <cols>
    <col min="1" max="1" width="1.42578125" customWidth="1"/>
    <col min="2" max="2" width="1.28515625" customWidth="1"/>
    <col min="3" max="3" width="2.5703125" customWidth="1"/>
    <col min="4" max="4" width="47.28515625" customWidth="1"/>
    <col min="5" max="5" width="11.28515625" customWidth="1"/>
    <col min="6" max="6" width="3.42578125" customWidth="1"/>
    <col min="7" max="7" width="46.7109375" customWidth="1"/>
    <col min="8" max="8" width="12.85546875" customWidth="1"/>
    <col min="9" max="9" width="0.7109375" customWidth="1"/>
    <col min="10" max="10" width="1" customWidth="1"/>
    <col min="11" max="11" width="1.42578125" customWidth="1"/>
    <col min="12" max="12" width="37" customWidth="1"/>
    <col min="13" max="13" width="9.85546875" customWidth="1"/>
    <col min="14" max="14" width="3.85546875" customWidth="1"/>
    <col min="15" max="15" width="15.5703125" customWidth="1"/>
    <col min="16" max="20" width="9.140625" customWidth="1"/>
  </cols>
  <sheetData>
    <row r="1" spans="2:21" ht="23.25" customHeight="1" x14ac:dyDescent="0.35">
      <c r="C1" s="385" t="s">
        <v>575</v>
      </c>
    </row>
    <row r="2" spans="2:21" ht="18.75" x14ac:dyDescent="0.3">
      <c r="C2" s="386" t="s">
        <v>288</v>
      </c>
      <c r="L2" s="580" t="s">
        <v>671</v>
      </c>
      <c r="M2" s="580"/>
      <c r="N2" s="580"/>
      <c r="O2" s="120"/>
    </row>
    <row r="3" spans="2:21" ht="4.5" customHeight="1" x14ac:dyDescent="0.25">
      <c r="L3" s="120"/>
      <c r="M3" s="120"/>
      <c r="N3" s="120"/>
      <c r="O3" s="120"/>
    </row>
    <row r="4" spans="2:21" ht="19.5" customHeight="1" x14ac:dyDescent="0.25">
      <c r="B4" s="387"/>
      <c r="C4" s="388" t="s">
        <v>289</v>
      </c>
      <c r="D4" s="389"/>
      <c r="E4" s="389"/>
      <c r="F4" s="389"/>
      <c r="G4" s="389"/>
      <c r="H4" s="389"/>
      <c r="I4" s="390"/>
      <c r="L4" s="581" t="s">
        <v>674</v>
      </c>
      <c r="M4" s="582">
        <f>Plod.25!D5</f>
        <v>0</v>
      </c>
      <c r="N4" s="583" t="s">
        <v>147</v>
      </c>
      <c r="O4" s="584" t="s">
        <v>2</v>
      </c>
    </row>
    <row r="5" spans="2:21" ht="14.25" customHeight="1" x14ac:dyDescent="0.25">
      <c r="B5" s="391"/>
      <c r="D5" s="7"/>
      <c r="E5" s="7"/>
      <c r="F5" s="7"/>
      <c r="G5" s="7"/>
      <c r="H5" s="7"/>
      <c r="I5" s="392"/>
      <c r="L5" s="851" t="s">
        <v>329</v>
      </c>
      <c r="M5" s="852"/>
      <c r="N5" s="852"/>
      <c r="O5" s="585">
        <f>IF(M4=0,0,E18/H29*1000)</f>
        <v>0</v>
      </c>
      <c r="P5" s="6"/>
      <c r="Q5" s="6"/>
      <c r="R5" s="6"/>
      <c r="S5" s="6"/>
      <c r="T5" s="6"/>
      <c r="U5" s="221"/>
    </row>
    <row r="6" spans="2:21" ht="15" customHeight="1" x14ac:dyDescent="0.25">
      <c r="B6" s="391"/>
      <c r="C6" s="1" t="s">
        <v>290</v>
      </c>
      <c r="I6" s="392"/>
      <c r="L6" s="851" t="s">
        <v>330</v>
      </c>
      <c r="M6" s="851"/>
      <c r="N6" s="851"/>
      <c r="O6" s="585">
        <f>IF(M4=0,0,E13/M4*1000)</f>
        <v>0</v>
      </c>
      <c r="P6" s="6"/>
      <c r="Q6" s="6"/>
      <c r="R6" s="6"/>
      <c r="S6" s="6"/>
      <c r="T6" s="6"/>
    </row>
    <row r="7" spans="2:21" ht="15" customHeight="1" x14ac:dyDescent="0.25">
      <c r="B7" s="391"/>
      <c r="C7" s="814" t="s">
        <v>73</v>
      </c>
      <c r="D7" s="814"/>
      <c r="E7" s="815" t="str">
        <f>IF(Plod.24!G2=0,"",Plod.24!G2)</f>
        <v/>
      </c>
      <c r="F7" s="815"/>
      <c r="G7" s="815"/>
      <c r="I7" s="392"/>
      <c r="L7" s="851" t="s">
        <v>331</v>
      </c>
      <c r="M7" s="851"/>
      <c r="N7" s="851"/>
      <c r="O7" s="585">
        <f>IF(M4=0,0,(E14+E15+E16+E17)/M4*1000)</f>
        <v>0</v>
      </c>
      <c r="P7" s="6"/>
      <c r="Q7" s="6"/>
      <c r="R7" s="6"/>
      <c r="S7" s="6"/>
      <c r="T7" s="6"/>
    </row>
    <row r="8" spans="2:21" ht="15" customHeight="1" x14ac:dyDescent="0.25">
      <c r="B8" s="391"/>
      <c r="C8" s="814" t="s">
        <v>74</v>
      </c>
      <c r="D8" s="814"/>
      <c r="E8" s="815" t="str">
        <f>Plod.24!G4</f>
        <v>2024/2025</v>
      </c>
      <c r="F8" s="815"/>
      <c r="G8" s="815"/>
      <c r="I8" s="392"/>
      <c r="L8" s="849" t="s">
        <v>332</v>
      </c>
      <c r="M8" s="849"/>
      <c r="N8" s="849"/>
      <c r="O8" s="586">
        <f>O5+O6+O7</f>
        <v>0</v>
      </c>
      <c r="P8" s="6"/>
      <c r="Q8" s="6"/>
      <c r="R8" s="6"/>
      <c r="S8" s="6"/>
      <c r="T8" s="6"/>
    </row>
    <row r="9" spans="2:21" ht="15" customHeight="1" x14ac:dyDescent="0.25">
      <c r="B9" s="391"/>
      <c r="I9" s="392"/>
      <c r="L9" s="849" t="s">
        <v>672</v>
      </c>
      <c r="M9" s="849"/>
      <c r="N9" s="849"/>
      <c r="O9" s="586">
        <f>IF(M4=0,0,(H13+H14)/M4*1000)</f>
        <v>0</v>
      </c>
      <c r="P9" s="6"/>
      <c r="Q9" s="6"/>
      <c r="R9" s="6"/>
      <c r="S9" s="6"/>
      <c r="T9" s="6"/>
    </row>
    <row r="10" spans="2:21" ht="15" customHeight="1" x14ac:dyDescent="0.25">
      <c r="B10" s="391"/>
      <c r="C10" s="1" t="s">
        <v>291</v>
      </c>
      <c r="I10" s="392"/>
      <c r="L10" s="851" t="s">
        <v>292</v>
      </c>
      <c r="M10" s="851"/>
      <c r="N10" s="851"/>
      <c r="O10" s="587">
        <f>IF(M4=0,0,H24/M4*1000)</f>
        <v>0</v>
      </c>
      <c r="P10" s="6"/>
      <c r="Q10" s="6"/>
      <c r="R10" s="6"/>
      <c r="S10" s="6"/>
      <c r="T10" s="6"/>
    </row>
    <row r="11" spans="2:21" ht="15" customHeight="1" x14ac:dyDescent="0.25">
      <c r="B11" s="391"/>
      <c r="C11" s="848" t="s">
        <v>293</v>
      </c>
      <c r="D11" s="848"/>
      <c r="E11" s="848"/>
      <c r="F11" s="848" t="s">
        <v>294</v>
      </c>
      <c r="G11" s="848"/>
      <c r="H11" s="848"/>
      <c r="I11" s="392"/>
      <c r="L11" s="849" t="s">
        <v>673</v>
      </c>
      <c r="M11" s="849"/>
      <c r="N11" s="850"/>
      <c r="O11" s="588">
        <f>O8-O9-O10</f>
        <v>0</v>
      </c>
      <c r="P11" s="6"/>
      <c r="Q11" s="6"/>
      <c r="R11" s="6"/>
      <c r="S11" s="6"/>
      <c r="T11" s="6"/>
    </row>
    <row r="12" spans="2:21" ht="15" customHeight="1" x14ac:dyDescent="0.25">
      <c r="B12" s="391"/>
      <c r="C12" s="325" t="s">
        <v>295</v>
      </c>
      <c r="D12" s="336" t="s">
        <v>296</v>
      </c>
      <c r="E12" s="325" t="s">
        <v>297</v>
      </c>
      <c r="F12" s="325" t="s">
        <v>295</v>
      </c>
      <c r="G12" s="336" t="s">
        <v>296</v>
      </c>
      <c r="H12" s="325" t="s">
        <v>297</v>
      </c>
      <c r="I12" s="392"/>
      <c r="O12" s="393"/>
    </row>
    <row r="13" spans="2:21" ht="15" customHeight="1" x14ac:dyDescent="0.25">
      <c r="B13" s="391"/>
      <c r="C13" s="352" t="s">
        <v>298</v>
      </c>
      <c r="D13" s="339" t="s">
        <v>75</v>
      </c>
      <c r="E13" s="394">
        <f>IF('M.24-25ev'!D6=0,'M.24-25'!F75,'M.24-25ev'!D6)</f>
        <v>0</v>
      </c>
      <c r="F13" s="352" t="s">
        <v>298</v>
      </c>
      <c r="G13" s="339" t="s">
        <v>640</v>
      </c>
      <c r="H13" s="394">
        <f>Plod.25!U80/1000</f>
        <v>0</v>
      </c>
      <c r="I13" s="392"/>
      <c r="L13" s="395"/>
      <c r="M13" s="396"/>
      <c r="N13" s="395"/>
      <c r="O13" s="397"/>
    </row>
    <row r="14" spans="2:21" ht="15" customHeight="1" x14ac:dyDescent="0.25">
      <c r="B14" s="391"/>
      <c r="C14" s="352" t="s">
        <v>299</v>
      </c>
      <c r="D14" s="339" t="s">
        <v>639</v>
      </c>
      <c r="E14" s="394">
        <f>'O.24-25'!K80</f>
        <v>0</v>
      </c>
      <c r="F14" s="352" t="s">
        <v>299</v>
      </c>
      <c r="G14" s="339" t="s">
        <v>641</v>
      </c>
      <c r="H14" s="394">
        <f>Plod.25!X80/1000</f>
        <v>0</v>
      </c>
      <c r="I14" s="392"/>
      <c r="L14" s="844"/>
      <c r="M14" s="844"/>
      <c r="N14" s="844"/>
      <c r="O14" s="398"/>
    </row>
    <row r="15" spans="2:21" ht="15" customHeight="1" x14ac:dyDescent="0.25">
      <c r="B15" s="391"/>
      <c r="C15" s="399" t="s">
        <v>300</v>
      </c>
      <c r="D15" s="400" t="s">
        <v>223</v>
      </c>
      <c r="E15" s="394">
        <f>'O.24-25'!K82</f>
        <v>0</v>
      </c>
      <c r="F15" s="848" t="s">
        <v>609</v>
      </c>
      <c r="G15" s="848"/>
      <c r="H15" s="401">
        <f>H13+H14</f>
        <v>0</v>
      </c>
      <c r="I15" s="392"/>
      <c r="L15" s="844"/>
      <c r="M15" s="844"/>
      <c r="N15" s="844"/>
      <c r="O15" s="398"/>
    </row>
    <row r="16" spans="2:21" ht="15" customHeight="1" x14ac:dyDescent="0.25">
      <c r="B16" s="391"/>
      <c r="C16" s="352" t="s">
        <v>301</v>
      </c>
      <c r="D16" s="339" t="s">
        <v>224</v>
      </c>
      <c r="E16" s="394">
        <f>'O.24-25'!K83</f>
        <v>0</v>
      </c>
      <c r="F16" s="815"/>
      <c r="G16" s="815"/>
      <c r="H16" s="815"/>
      <c r="I16" s="392"/>
      <c r="L16" s="844"/>
      <c r="M16" s="844"/>
      <c r="N16" s="844"/>
      <c r="O16" s="398"/>
    </row>
    <row r="17" spans="2:15" ht="15" customHeight="1" x14ac:dyDescent="0.25">
      <c r="B17" s="391"/>
      <c r="C17" s="402" t="s">
        <v>302</v>
      </c>
      <c r="D17" s="403" t="s">
        <v>225</v>
      </c>
      <c r="E17" s="394">
        <f>'O.24-25'!K84</f>
        <v>0</v>
      </c>
      <c r="F17" s="815"/>
      <c r="G17" s="815"/>
      <c r="H17" s="815"/>
      <c r="I17" s="392"/>
      <c r="L17" s="842"/>
      <c r="M17" s="842"/>
      <c r="N17" s="842"/>
      <c r="O17" s="404"/>
    </row>
    <row r="18" spans="2:15" ht="15" customHeight="1" x14ac:dyDescent="0.25">
      <c r="B18" s="391"/>
      <c r="C18" s="399" t="s">
        <v>303</v>
      </c>
      <c r="D18" s="400" t="s">
        <v>304</v>
      </c>
      <c r="E18" s="405">
        <f>Plod.25!AQ80/1000</f>
        <v>0</v>
      </c>
      <c r="F18" s="815"/>
      <c r="G18" s="815"/>
      <c r="H18" s="815"/>
      <c r="I18" s="392"/>
      <c r="L18" s="842"/>
      <c r="M18" s="842"/>
      <c r="N18" s="842"/>
      <c r="O18" s="404"/>
    </row>
    <row r="19" spans="2:15" ht="15" customHeight="1" x14ac:dyDescent="0.25">
      <c r="B19" s="391"/>
      <c r="C19" s="848" t="s">
        <v>608</v>
      </c>
      <c r="D19" s="848"/>
      <c r="E19" s="401">
        <f>SUM(E13:E18)</f>
        <v>0</v>
      </c>
      <c r="F19" s="815"/>
      <c r="G19" s="815"/>
      <c r="H19" s="815"/>
      <c r="I19" s="392"/>
      <c r="L19" s="844"/>
      <c r="M19" s="844"/>
      <c r="N19" s="844"/>
      <c r="O19" s="398"/>
    </row>
    <row r="20" spans="2:15" ht="15" customHeight="1" x14ac:dyDescent="0.25">
      <c r="B20" s="391"/>
      <c r="C20" s="193"/>
      <c r="D20" s="193"/>
      <c r="E20" s="406"/>
      <c r="F20" s="407"/>
      <c r="G20" s="407"/>
      <c r="H20" s="407"/>
      <c r="I20" s="392"/>
      <c r="L20" s="395"/>
      <c r="M20" s="395"/>
      <c r="N20" s="395"/>
      <c r="O20" s="404"/>
    </row>
    <row r="21" spans="2:15" ht="15" customHeight="1" x14ac:dyDescent="0.25">
      <c r="B21" s="391"/>
      <c r="C21" s="1" t="s">
        <v>305</v>
      </c>
      <c r="D21" s="258"/>
      <c r="E21" s="258"/>
      <c r="F21" s="4"/>
      <c r="G21" s="4"/>
      <c r="H21" s="4"/>
      <c r="I21" s="408"/>
      <c r="J21" s="4"/>
      <c r="L21" s="409"/>
      <c r="M21" s="409"/>
      <c r="N21" s="409"/>
      <c r="O21" s="409"/>
    </row>
    <row r="22" spans="2:15" ht="15" customHeight="1" x14ac:dyDescent="0.25">
      <c r="B22" s="391"/>
      <c r="C22" s="325" t="s">
        <v>295</v>
      </c>
      <c r="D22" s="830" t="s">
        <v>76</v>
      </c>
      <c r="E22" s="831"/>
      <c r="F22" s="831"/>
      <c r="G22" s="832"/>
      <c r="H22" s="325" t="s">
        <v>297</v>
      </c>
      <c r="I22" s="410"/>
      <c r="J22" s="411"/>
      <c r="L22" s="395"/>
      <c r="M22" s="396"/>
      <c r="N22" s="395"/>
      <c r="O22" s="397"/>
    </row>
    <row r="23" spans="2:15" ht="15" customHeight="1" x14ac:dyDescent="0.25">
      <c r="B23" s="391"/>
      <c r="C23" s="352" t="s">
        <v>298</v>
      </c>
      <c r="D23" s="833" t="s">
        <v>306</v>
      </c>
      <c r="E23" s="834"/>
      <c r="F23" s="834"/>
      <c r="G23" s="835"/>
      <c r="H23" s="394">
        <f>E19-H15</f>
        <v>0</v>
      </c>
      <c r="I23" s="410"/>
      <c r="J23" s="411"/>
      <c r="L23" s="844"/>
      <c r="M23" s="844"/>
      <c r="N23" s="844"/>
      <c r="O23" s="398"/>
    </row>
    <row r="24" spans="2:15" ht="15" customHeight="1" x14ac:dyDescent="0.25">
      <c r="B24" s="391"/>
      <c r="C24" s="402" t="s">
        <v>299</v>
      </c>
      <c r="D24" s="845" t="s">
        <v>271</v>
      </c>
      <c r="E24" s="846"/>
      <c r="F24" s="846"/>
      <c r="G24" s="847"/>
      <c r="H24" s="394">
        <f>Ztr.25!I82</f>
        <v>0</v>
      </c>
      <c r="I24" s="410"/>
      <c r="J24" s="411"/>
      <c r="L24" s="844"/>
      <c r="M24" s="844"/>
      <c r="N24" s="844"/>
      <c r="O24" s="398"/>
    </row>
    <row r="25" spans="2:15" ht="15" customHeight="1" x14ac:dyDescent="0.25">
      <c r="B25" s="391"/>
      <c r="C25" s="830" t="s">
        <v>606</v>
      </c>
      <c r="D25" s="831"/>
      <c r="E25" s="831"/>
      <c r="F25" s="831"/>
      <c r="G25" s="832"/>
      <c r="H25" s="401">
        <f>H23-H24</f>
        <v>0</v>
      </c>
      <c r="I25" s="410"/>
      <c r="J25" s="411"/>
      <c r="L25" s="842"/>
      <c r="M25" s="842"/>
      <c r="N25" s="842"/>
      <c r="O25" s="404"/>
    </row>
    <row r="26" spans="2:15" ht="15" customHeight="1" x14ac:dyDescent="0.25">
      <c r="B26" s="391"/>
      <c r="C26" s="843"/>
      <c r="D26" s="843"/>
      <c r="H26" s="193"/>
      <c r="I26" s="392"/>
      <c r="L26" s="842"/>
      <c r="M26" s="842"/>
      <c r="N26" s="842"/>
      <c r="O26" s="404"/>
    </row>
    <row r="27" spans="2:15" ht="15" customHeight="1" x14ac:dyDescent="0.25">
      <c r="B27" s="391"/>
      <c r="C27" s="353" t="s">
        <v>642</v>
      </c>
      <c r="D27" s="411"/>
      <c r="E27" s="411"/>
      <c r="F27" s="411"/>
      <c r="G27" s="412"/>
      <c r="I27" s="392"/>
      <c r="L27" s="844"/>
      <c r="M27" s="844"/>
      <c r="N27" s="844"/>
      <c r="O27" s="398"/>
    </row>
    <row r="28" spans="2:15" ht="15" customHeight="1" x14ac:dyDescent="0.25">
      <c r="B28" s="391"/>
      <c r="C28" s="325" t="s">
        <v>295</v>
      </c>
      <c r="D28" s="830" t="s">
        <v>76</v>
      </c>
      <c r="E28" s="831"/>
      <c r="F28" s="831"/>
      <c r="G28" s="832"/>
      <c r="H28" s="325" t="s">
        <v>77</v>
      </c>
      <c r="I28" s="413"/>
      <c r="J28" s="414"/>
      <c r="L28" s="395"/>
      <c r="M28" s="395"/>
      <c r="N28" s="395"/>
      <c r="O28" s="404"/>
    </row>
    <row r="29" spans="2:15" ht="15" customHeight="1" x14ac:dyDescent="0.25">
      <c r="B29" s="391"/>
      <c r="C29" s="352" t="s">
        <v>298</v>
      </c>
      <c r="D29" s="833" t="s">
        <v>643</v>
      </c>
      <c r="E29" s="834"/>
      <c r="F29" s="834"/>
      <c r="G29" s="835"/>
      <c r="H29" s="394">
        <f>Plod.25!D5</f>
        <v>0</v>
      </c>
      <c r="I29" s="392"/>
    </row>
    <row r="30" spans="2:15" ht="15" customHeight="1" x14ac:dyDescent="0.25">
      <c r="B30" s="391"/>
      <c r="C30" s="415" t="s">
        <v>299</v>
      </c>
      <c r="D30" s="836" t="s">
        <v>307</v>
      </c>
      <c r="E30" s="837"/>
      <c r="F30" s="837"/>
      <c r="G30" s="838"/>
      <c r="H30" s="416">
        <f>H25*1000</f>
        <v>0</v>
      </c>
      <c r="I30" s="392"/>
      <c r="L30" s="839"/>
      <c r="M30" s="839"/>
      <c r="N30" s="839"/>
      <c r="O30" s="839"/>
    </row>
    <row r="31" spans="2:15" ht="15" customHeight="1" x14ac:dyDescent="0.25">
      <c r="B31" s="391"/>
      <c r="C31" s="840" t="s">
        <v>607</v>
      </c>
      <c r="D31" s="841"/>
      <c r="E31" s="841"/>
      <c r="F31" s="841"/>
      <c r="G31" s="841"/>
      <c r="H31" s="417" t="str">
        <f>IF(H29=0,"",H30/H29)</f>
        <v/>
      </c>
      <c r="I31" s="392"/>
      <c r="L31" s="839"/>
      <c r="M31" s="839"/>
      <c r="N31" s="839"/>
      <c r="O31" s="839"/>
    </row>
    <row r="32" spans="2:15" ht="15.75" customHeight="1" x14ac:dyDescent="0.25">
      <c r="B32" s="418"/>
      <c r="C32" s="828"/>
      <c r="D32" s="828"/>
      <c r="E32" s="419"/>
      <c r="F32" s="419"/>
      <c r="G32" s="419"/>
      <c r="H32" s="420" t="s">
        <v>615</v>
      </c>
      <c r="I32" s="421"/>
    </row>
    <row r="33" spans="1:16" ht="6" customHeight="1" x14ac:dyDescent="0.25"/>
    <row r="34" spans="1:16" ht="85.5" customHeight="1" x14ac:dyDescent="0.25">
      <c r="H34" s="330" t="s">
        <v>670</v>
      </c>
    </row>
    <row r="35" spans="1:16" x14ac:dyDescent="0.25">
      <c r="B35" s="713" t="str">
        <f>Plod.24!B83</f>
        <v>Verze 1 (15. 4. 2025); kontakty (CARC): www.carc.cz, Ing. Jan Klír, CSc. (603 520 684; jan.klir@carc.cz), Ing. Lada Kozlovská (733 375 632; lada.kozlovska@carc.cz)</v>
      </c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</row>
    <row r="36" spans="1:16" x14ac:dyDescent="0.25">
      <c r="L36" s="222"/>
      <c r="M36" s="223"/>
      <c r="N36" s="222"/>
      <c r="O36" s="224"/>
    </row>
    <row r="37" spans="1:16" x14ac:dyDescent="0.25">
      <c r="L37" s="829"/>
      <c r="M37" s="829"/>
      <c r="N37" s="829"/>
      <c r="O37" s="225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sheetProtection algorithmName="SHA-512" hashValue="Wue20YvI67lWjFxY+F2iHxSgXzccFNTrHVz+UVO/shCJ5kJAsqJVh4wv4zRJnoTggiWeWq7Ur4gNzSn9Bk9JrA==" saltValue="XPRM3c4snKynFSDyc9XTRg==" spinCount="100000" sheet="1" objects="1" scenarios="1" formatCells="0" formatColumns="0" formatRows="0"/>
  <mergeCells count="40">
    <mergeCell ref="L5:N5"/>
    <mergeCell ref="L6:N6"/>
    <mergeCell ref="C7:D7"/>
    <mergeCell ref="E7:G7"/>
    <mergeCell ref="L7:N7"/>
    <mergeCell ref="C8:D8"/>
    <mergeCell ref="E8:G8"/>
    <mergeCell ref="L8:N8"/>
    <mergeCell ref="L9:N9"/>
    <mergeCell ref="L10:N10"/>
    <mergeCell ref="C11:E11"/>
    <mergeCell ref="F11:H11"/>
    <mergeCell ref="L11:N11"/>
    <mergeCell ref="L14:N14"/>
    <mergeCell ref="F15:G15"/>
    <mergeCell ref="L15:N15"/>
    <mergeCell ref="F16:H19"/>
    <mergeCell ref="L16:N16"/>
    <mergeCell ref="L17:N17"/>
    <mergeCell ref="L18:N18"/>
    <mergeCell ref="C19:D19"/>
    <mergeCell ref="L19:N19"/>
    <mergeCell ref="D22:G22"/>
    <mergeCell ref="D23:G23"/>
    <mergeCell ref="L23:N23"/>
    <mergeCell ref="D24:G24"/>
    <mergeCell ref="L24:N24"/>
    <mergeCell ref="C25:G25"/>
    <mergeCell ref="L25:N25"/>
    <mergeCell ref="C26:D26"/>
    <mergeCell ref="L26:N26"/>
    <mergeCell ref="L27:N27"/>
    <mergeCell ref="C32:D32"/>
    <mergeCell ref="L37:N37"/>
    <mergeCell ref="D28:G28"/>
    <mergeCell ref="D29:G29"/>
    <mergeCell ref="D30:G30"/>
    <mergeCell ref="L30:O31"/>
    <mergeCell ref="C31:G31"/>
    <mergeCell ref="B35:O3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0AD-209E-4EC6-B883-112BAA8DE521}">
  <sheetPr>
    <tabColor theme="6" tint="0.39997558519241921"/>
    <pageSetUpPr fitToPage="1"/>
  </sheetPr>
  <dimension ref="B1:AE64"/>
  <sheetViews>
    <sheetView showGridLines="0" showZeros="0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C6"/>
    </sheetView>
  </sheetViews>
  <sheetFormatPr defaultRowHeight="15" x14ac:dyDescent="0.25"/>
  <cols>
    <col min="1" max="1" width="0.5703125" customWidth="1"/>
    <col min="2" max="2" width="59.42578125" customWidth="1"/>
    <col min="3" max="3" width="13" customWidth="1"/>
    <col min="4" max="4" width="82.28515625" customWidth="1"/>
    <col min="5" max="5" width="0.85546875" customWidth="1"/>
    <col min="6" max="6" width="27.85546875" customWidth="1"/>
    <col min="7" max="7" width="32.42578125" customWidth="1"/>
    <col min="8" max="8" width="1.5703125" customWidth="1"/>
    <col min="9" max="9" width="1.42578125" customWidth="1"/>
    <col min="10" max="10" width="15.85546875" customWidth="1"/>
    <col min="11" max="11" width="76" customWidth="1"/>
    <col min="12" max="12" width="53.42578125" customWidth="1"/>
    <col min="13" max="13" width="15.42578125" customWidth="1"/>
    <col min="14" max="14" width="25.5703125" customWidth="1"/>
    <col min="15" max="15" width="21.140625" customWidth="1"/>
    <col min="16" max="16" width="24.5703125" customWidth="1"/>
    <col min="17" max="17" width="20.5703125" customWidth="1"/>
    <col min="18" max="18" width="26.5703125" customWidth="1"/>
    <col min="19" max="19" width="9.5703125" customWidth="1"/>
    <col min="20" max="20" width="16.5703125" customWidth="1"/>
    <col min="21" max="21" width="22.5703125" customWidth="1"/>
    <col min="22" max="22" width="17.5703125" customWidth="1"/>
    <col min="24" max="24" width="9" customWidth="1"/>
    <col min="25" max="25" width="9.140625" customWidth="1"/>
    <col min="26" max="26" width="12.42578125" bestFit="1" customWidth="1"/>
    <col min="27" max="27" width="20.140625" customWidth="1"/>
  </cols>
  <sheetData>
    <row r="1" spans="2:22" ht="20.100000000000001" customHeight="1" x14ac:dyDescent="0.3">
      <c r="B1" s="856" t="s">
        <v>578</v>
      </c>
      <c r="C1" s="856"/>
      <c r="D1" s="856"/>
      <c r="E1" s="422"/>
      <c r="I1" s="423" t="s">
        <v>675</v>
      </c>
      <c r="J1" s="424"/>
      <c r="M1" s="425"/>
      <c r="N1" s="857" t="s">
        <v>467</v>
      </c>
      <c r="O1" s="857"/>
      <c r="P1" s="426">
        <f>IF(C8=0,0,P9)</f>
        <v>0</v>
      </c>
      <c r="Q1" s="427" t="str">
        <f>N2</f>
        <v>Plnění:</v>
      </c>
      <c r="R1" s="427" t="str">
        <f>N1</f>
        <v>Potřeba:</v>
      </c>
      <c r="S1" s="4"/>
    </row>
    <row r="2" spans="2:22" ht="17.25" customHeight="1" x14ac:dyDescent="0.25">
      <c r="B2" s="604" t="s">
        <v>73</v>
      </c>
      <c r="C2" s="858">
        <f>Plod.24!G2</f>
        <v>0</v>
      </c>
      <c r="D2" s="859"/>
      <c r="E2" s="350"/>
      <c r="F2" s="605" t="s">
        <v>466</v>
      </c>
      <c r="G2" s="630">
        <f>Plod.24!E2</f>
        <v>0</v>
      </c>
      <c r="I2" s="428"/>
      <c r="J2" s="428"/>
      <c r="K2" s="429"/>
      <c r="L2" s="428"/>
      <c r="N2" s="860" t="s">
        <v>468</v>
      </c>
      <c r="O2" s="860"/>
      <c r="P2" s="430">
        <f>IF(C8=0,0,P58)</f>
        <v>0</v>
      </c>
      <c r="Q2" s="431">
        <f>P2</f>
        <v>0</v>
      </c>
      <c r="R2" s="431">
        <f>P1</f>
        <v>0</v>
      </c>
      <c r="S2" s="4"/>
    </row>
    <row r="3" spans="2:22" ht="14.25" customHeight="1" x14ac:dyDescent="0.25">
      <c r="B3" s="667"/>
      <c r="C3" s="666"/>
      <c r="F3" s="432"/>
      <c r="G3" s="433"/>
      <c r="H3" s="434"/>
      <c r="I3" s="434"/>
      <c r="J3" s="434"/>
      <c r="K3" s="434"/>
      <c r="L3" s="434"/>
      <c r="N3" s="251"/>
      <c r="O3" s="251"/>
      <c r="P3" s="435"/>
    </row>
    <row r="4" spans="2:22" ht="15.75" customHeight="1" x14ac:dyDescent="0.25">
      <c r="B4" s="604" t="s">
        <v>469</v>
      </c>
      <c r="C4" s="436" t="str">
        <f>IF(C8=0,"",IF(P4&lt;0,"nesplněna","splněna"))</f>
        <v/>
      </c>
      <c r="D4" s="434"/>
      <c r="E4" s="434"/>
      <c r="F4" s="437">
        <f>IF(P1&gt;0,P1*C8,0)</f>
        <v>0</v>
      </c>
      <c r="G4" s="438" t="str">
        <f>IF(F4=0,"","ha (rozsah potřebných opatření)")</f>
        <v/>
      </c>
      <c r="I4" s="439"/>
      <c r="J4" s="439"/>
      <c r="K4" s="439"/>
      <c r="N4" s="861" t="s">
        <v>470</v>
      </c>
      <c r="O4" s="861"/>
      <c r="P4" s="440">
        <f>IF(C8=0,0,(P2-P1))</f>
        <v>0</v>
      </c>
      <c r="R4" s="853" t="s">
        <v>471</v>
      </c>
    </row>
    <row r="5" spans="2:22" ht="15.95" customHeight="1" x14ac:dyDescent="0.25">
      <c r="B5" s="604" t="s">
        <v>472</v>
      </c>
      <c r="C5" s="436" t="str">
        <f>IF(C8=0,"",IF(R59&lt;0,"záporná",IF(R59&lt;0.5,"vyrovnaná","zlepšující")))</f>
        <v/>
      </c>
      <c r="D5" s="442"/>
      <c r="E5" s="442"/>
      <c r="F5" s="437">
        <f>P2*C8</f>
        <v>0</v>
      </c>
      <c r="G5" s="438" t="str">
        <f>IF(F5&gt;0,"ha (rozsah provedených opatření)","")</f>
        <v/>
      </c>
      <c r="H5" s="439"/>
      <c r="I5" s="439"/>
      <c r="J5" s="439"/>
      <c r="K5" s="439"/>
      <c r="L5" s="439"/>
      <c r="M5" s="5"/>
      <c r="N5" s="5"/>
      <c r="O5" s="5"/>
      <c r="P5" s="443"/>
      <c r="Q5" s="443"/>
      <c r="R5" s="853"/>
    </row>
    <row r="6" spans="2:22" ht="15.75" customHeight="1" x14ac:dyDescent="0.25">
      <c r="B6" s="862" t="s">
        <v>676</v>
      </c>
      <c r="C6" s="862"/>
      <c r="D6" s="444"/>
      <c r="E6" s="444"/>
      <c r="F6" s="445"/>
      <c r="G6" s="446"/>
      <c r="H6" s="444"/>
      <c r="I6" s="444"/>
      <c r="J6" s="444"/>
      <c r="K6" s="444"/>
      <c r="L6" s="444"/>
      <c r="M6" s="428"/>
      <c r="N6" s="428"/>
      <c r="O6" s="434"/>
      <c r="P6" s="443"/>
      <c r="Q6" s="443"/>
      <c r="R6" s="853"/>
      <c r="S6" s="447"/>
      <c r="T6" s="444"/>
      <c r="U6" s="434"/>
    </row>
    <row r="7" spans="2:22" ht="13.5" customHeight="1" x14ac:dyDescent="0.25">
      <c r="B7" s="448" t="s">
        <v>473</v>
      </c>
      <c r="C7" s="449" t="s">
        <v>396</v>
      </c>
      <c r="D7" s="450"/>
      <c r="E7" s="450"/>
      <c r="F7" s="451" t="str">
        <f>IF(C8=0,"",IF(F4=0,"",IF(F5/F4&gt;1,"",IF(F5=0,0,F5/F4))))</f>
        <v/>
      </c>
      <c r="G7" s="438" t="str">
        <f>IF(F7="","",IF(F4=0,"",IF(F5=0,"","plnění")))</f>
        <v/>
      </c>
      <c r="H7" s="450"/>
      <c r="I7" s="450"/>
      <c r="J7" s="450"/>
      <c r="K7" s="450"/>
      <c r="L7" s="450"/>
      <c r="M7" s="445"/>
      <c r="N7" s="445"/>
      <c r="P7" s="854" t="s">
        <v>474</v>
      </c>
      <c r="Q7" s="855"/>
      <c r="R7" s="853"/>
      <c r="S7" s="452"/>
    </row>
    <row r="8" spans="2:22" ht="12.95" customHeight="1" thickBot="1" x14ac:dyDescent="0.3">
      <c r="B8" s="606" t="s">
        <v>475</v>
      </c>
      <c r="C8" s="631">
        <f>Plod.25!D5</f>
        <v>0</v>
      </c>
      <c r="D8" s="454" t="s">
        <v>476</v>
      </c>
      <c r="E8" s="455"/>
      <c r="F8" s="456">
        <f>IF(C8=0,0,IF(P4&lt;0,IF(F7&lt;100%,IF(F4&lt;0,0,1-F7),0),0))</f>
        <v>0</v>
      </c>
      <c r="G8" s="186" t="str">
        <f>IF(F8=0,"","neplnění")</f>
        <v/>
      </c>
      <c r="H8" s="457"/>
      <c r="I8" s="457"/>
      <c r="J8" s="457"/>
      <c r="K8" s="457"/>
      <c r="L8" s="457"/>
      <c r="M8" s="872" t="s">
        <v>477</v>
      </c>
      <c r="N8" s="872"/>
      <c r="O8" s="872"/>
      <c r="P8" s="459" t="str">
        <f>IF(C8=0,"",(35%*C10+30%*(C9+C11))/C8)</f>
        <v/>
      </c>
      <c r="Q8" s="460" t="str">
        <f>IF(C8=0,"",C8*P8)</f>
        <v/>
      </c>
      <c r="R8" s="461" t="str">
        <f>IF(C$8=0,"",((30*0.165)*Q8)/C$8)</f>
        <v/>
      </c>
      <c r="V8" s="111"/>
    </row>
    <row r="9" spans="2:22" ht="13.7" customHeight="1" thickBot="1" x14ac:dyDescent="0.3">
      <c r="B9" s="607" t="s">
        <v>478</v>
      </c>
      <c r="C9" s="349"/>
      <c r="D9" s="873" t="s">
        <v>479</v>
      </c>
      <c r="E9" s="463"/>
      <c r="F9" s="464"/>
      <c r="G9" s="465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466"/>
      <c r="I9" s="466"/>
      <c r="J9" s="466"/>
      <c r="K9" s="466"/>
      <c r="L9" s="466"/>
      <c r="M9" s="875" t="s">
        <v>480</v>
      </c>
      <c r="N9" s="875"/>
      <c r="O9" s="876"/>
      <c r="P9" s="467" t="str">
        <f>P20</f>
        <v/>
      </c>
      <c r="Q9" s="468" t="str">
        <f>Q20</f>
        <v/>
      </c>
      <c r="R9" s="469" t="str">
        <f>R20</f>
        <v/>
      </c>
      <c r="V9" s="470"/>
    </row>
    <row r="10" spans="2:22" ht="13.7" customHeight="1" thickBot="1" x14ac:dyDescent="0.3">
      <c r="B10" s="606" t="s">
        <v>651</v>
      </c>
      <c r="C10" s="632">
        <f>C8-C9-C11</f>
        <v>0</v>
      </c>
      <c r="D10" s="874"/>
      <c r="E10" s="463"/>
      <c r="F10" s="877" t="s">
        <v>481</v>
      </c>
      <c r="G10" s="877"/>
      <c r="H10" s="466"/>
      <c r="I10" s="466"/>
      <c r="J10" s="466"/>
      <c r="K10" s="466"/>
      <c r="L10" s="466"/>
      <c r="M10" s="472"/>
      <c r="N10" s="472"/>
      <c r="O10" s="472"/>
      <c r="P10" s="473"/>
      <c r="Q10" s="474"/>
      <c r="R10" s="475"/>
      <c r="V10" s="470"/>
    </row>
    <row r="11" spans="2:22" ht="13.7" customHeight="1" thickBot="1" x14ac:dyDescent="0.3">
      <c r="B11" s="607" t="s">
        <v>652</v>
      </c>
      <c r="C11" s="349"/>
      <c r="D11" s="873"/>
      <c r="E11" s="463"/>
      <c r="F11" s="877"/>
      <c r="G11" s="877"/>
      <c r="H11" s="466"/>
      <c r="I11" s="466"/>
      <c r="J11" s="466"/>
      <c r="K11" s="466"/>
      <c r="L11" s="466"/>
      <c r="M11" s="434"/>
      <c r="N11" s="476"/>
      <c r="O11" s="477"/>
      <c r="P11" s="478"/>
      <c r="Q11" s="479"/>
      <c r="R11" s="480"/>
      <c r="V11" s="470"/>
    </row>
    <row r="12" spans="2:22" ht="6" customHeight="1" x14ac:dyDescent="0.25">
      <c r="B12" s="481"/>
      <c r="C12" s="412"/>
      <c r="D12" s="482"/>
      <c r="E12" s="482"/>
      <c r="F12" s="877"/>
      <c r="G12" s="877"/>
      <c r="H12" s="483"/>
      <c r="I12" s="483"/>
      <c r="J12" s="483"/>
      <c r="K12" s="483"/>
      <c r="L12" s="483"/>
      <c r="M12" s="5"/>
      <c r="N12" s="5"/>
      <c r="O12" s="5"/>
      <c r="R12" s="120"/>
      <c r="S12" s="484"/>
      <c r="T12" s="111"/>
      <c r="U12" s="111"/>
      <c r="V12" s="111"/>
    </row>
    <row r="13" spans="2:22" ht="14.45" customHeight="1" thickBot="1" x14ac:dyDescent="0.3">
      <c r="B13" s="485" t="s">
        <v>482</v>
      </c>
      <c r="C13" s="486" t="s">
        <v>396</v>
      </c>
      <c r="D13" s="454" t="s">
        <v>483</v>
      </c>
      <c r="E13" s="455"/>
      <c r="F13" s="487" t="s">
        <v>484</v>
      </c>
      <c r="G13" s="487" t="s">
        <v>485</v>
      </c>
      <c r="H13" s="878"/>
      <c r="I13" s="878"/>
      <c r="J13" s="878"/>
      <c r="K13" s="488"/>
      <c r="L13" s="485" t="str">
        <f>B13</f>
        <v>Vybrané plodiny (JŽ, květen 2025)</v>
      </c>
      <c r="M13" s="133" t="s">
        <v>486</v>
      </c>
      <c r="N13" s="133" t="s">
        <v>487</v>
      </c>
      <c r="O13" s="879" t="s">
        <v>488</v>
      </c>
      <c r="P13" s="865" t="s">
        <v>489</v>
      </c>
      <c r="Q13" s="865"/>
      <c r="R13" s="441" t="s">
        <v>490</v>
      </c>
      <c r="V13" s="111"/>
    </row>
    <row r="14" spans="2:22" ht="14.45" customHeight="1" x14ac:dyDescent="0.25">
      <c r="B14" s="607" t="s">
        <v>547</v>
      </c>
      <c r="C14" s="346"/>
      <c r="D14" s="462"/>
      <c r="E14" s="463"/>
      <c r="F14" s="489" t="s">
        <v>491</v>
      </c>
      <c r="G14" s="490" t="s">
        <v>492</v>
      </c>
      <c r="H14" s="878"/>
      <c r="I14" s="878"/>
      <c r="J14" s="878"/>
      <c r="K14" s="488"/>
      <c r="L14" s="453" t="s">
        <v>493</v>
      </c>
      <c r="M14" s="491">
        <v>0.45</v>
      </c>
      <c r="N14" s="492">
        <f t="shared" ref="N14:N15" si="0">IF(C$8=0,0,C14/C$8)</f>
        <v>0</v>
      </c>
      <c r="O14" s="880"/>
      <c r="P14" s="493">
        <f t="shared" ref="P14:P19" si="1">IF($N14=0,0,$N14*M14)</f>
        <v>0</v>
      </c>
      <c r="Q14" s="494">
        <f t="shared" ref="Q14:Q19" si="2">C14*M14</f>
        <v>0</v>
      </c>
      <c r="R14" s="461" t="str">
        <f t="shared" ref="R14:R20" si="3">IF(C$8=0,"",((30*0.165)*Q14)/C$8)</f>
        <v/>
      </c>
      <c r="V14" s="111"/>
    </row>
    <row r="15" spans="2:22" ht="14.45" customHeight="1" thickBot="1" x14ac:dyDescent="0.3">
      <c r="B15" s="607" t="s">
        <v>546</v>
      </c>
      <c r="C15" s="348"/>
      <c r="D15" s="462"/>
      <c r="E15" s="463"/>
      <c r="F15" s="489" t="s">
        <v>495</v>
      </c>
      <c r="G15" s="490" t="s">
        <v>496</v>
      </c>
      <c r="H15" s="878"/>
      <c r="I15" s="878"/>
      <c r="J15" s="878"/>
      <c r="K15" s="488"/>
      <c r="L15" s="453" t="s">
        <v>494</v>
      </c>
      <c r="M15" s="491">
        <v>0.25</v>
      </c>
      <c r="N15" s="492">
        <f t="shared" si="0"/>
        <v>0</v>
      </c>
      <c r="O15" s="880"/>
      <c r="P15" s="493">
        <f t="shared" si="1"/>
        <v>0</v>
      </c>
      <c r="Q15" s="494">
        <f t="shared" si="2"/>
        <v>0</v>
      </c>
      <c r="R15" s="461" t="str">
        <f t="shared" si="3"/>
        <v/>
      </c>
      <c r="V15" s="111"/>
    </row>
    <row r="16" spans="2:22" ht="14.45" customHeight="1" x14ac:dyDescent="0.25">
      <c r="B16" s="606" t="s">
        <v>544</v>
      </c>
      <c r="C16" s="633">
        <f>Plod.25!D88</f>
        <v>0</v>
      </c>
      <c r="D16" s="495"/>
      <c r="E16" s="463"/>
      <c r="F16" s="489" t="s">
        <v>498</v>
      </c>
      <c r="G16" s="490" t="s">
        <v>499</v>
      </c>
      <c r="H16" s="878"/>
      <c r="I16" s="878"/>
      <c r="J16" s="878"/>
      <c r="K16" s="488"/>
      <c r="L16" s="453" t="s">
        <v>493</v>
      </c>
      <c r="M16" s="491">
        <v>0.45</v>
      </c>
      <c r="N16" s="492">
        <f>IF(C$8=0,0,C16/C$8)</f>
        <v>0</v>
      </c>
      <c r="O16" s="880"/>
      <c r="P16" s="493">
        <f t="shared" si="1"/>
        <v>0</v>
      </c>
      <c r="Q16" s="494">
        <f t="shared" si="2"/>
        <v>0</v>
      </c>
      <c r="R16" s="461" t="str">
        <f t="shared" si="3"/>
        <v/>
      </c>
      <c r="V16" s="111"/>
    </row>
    <row r="17" spans="2:31" ht="14.45" customHeight="1" x14ac:dyDescent="0.25">
      <c r="B17" s="606" t="s">
        <v>545</v>
      </c>
      <c r="C17" s="633">
        <f>Plod.25!D89</f>
        <v>0</v>
      </c>
      <c r="D17" s="495"/>
      <c r="E17" s="463"/>
      <c r="F17" s="496" t="s">
        <v>501</v>
      </c>
      <c r="G17" s="497" t="s">
        <v>502</v>
      </c>
      <c r="H17" s="878"/>
      <c r="I17" s="878"/>
      <c r="J17" s="878"/>
      <c r="K17" s="488"/>
      <c r="L17" s="453" t="s">
        <v>494</v>
      </c>
      <c r="M17" s="491">
        <v>0.25</v>
      </c>
      <c r="N17" s="492">
        <f>IF(C$8=0,0,C17/C$8)</f>
        <v>0</v>
      </c>
      <c r="O17" s="880"/>
      <c r="P17" s="493">
        <f t="shared" si="1"/>
        <v>0</v>
      </c>
      <c r="Q17" s="494">
        <f t="shared" si="2"/>
        <v>0</v>
      </c>
      <c r="R17" s="461" t="str">
        <f t="shared" si="3"/>
        <v/>
      </c>
      <c r="V17" s="111"/>
    </row>
    <row r="18" spans="2:31" ht="14.45" customHeight="1" x14ac:dyDescent="0.25">
      <c r="B18" s="606" t="s">
        <v>408</v>
      </c>
      <c r="C18" s="633">
        <f>Plod.25!D90</f>
        <v>0</v>
      </c>
      <c r="D18" s="495" t="s">
        <v>548</v>
      </c>
      <c r="E18" s="463"/>
      <c r="F18" s="866" t="s">
        <v>503</v>
      </c>
      <c r="G18" s="867"/>
      <c r="H18" s="878"/>
      <c r="I18" s="878"/>
      <c r="J18" s="878"/>
      <c r="K18" s="488"/>
      <c r="L18" s="453" t="s">
        <v>497</v>
      </c>
      <c r="M18" s="491">
        <v>-0.9</v>
      </c>
      <c r="N18" s="492">
        <f>IF(C$8=0,0,C18/C$8)</f>
        <v>0</v>
      </c>
      <c r="O18" s="880"/>
      <c r="P18" s="493">
        <f t="shared" si="1"/>
        <v>0</v>
      </c>
      <c r="Q18" s="494">
        <f t="shared" si="2"/>
        <v>0</v>
      </c>
      <c r="R18" s="461" t="str">
        <f t="shared" si="3"/>
        <v/>
      </c>
      <c r="V18" s="111"/>
    </row>
    <row r="19" spans="2:31" ht="14.45" customHeight="1" x14ac:dyDescent="0.25">
      <c r="B19" s="606" t="s">
        <v>550</v>
      </c>
      <c r="C19" s="633">
        <f>Plod.25!D91</f>
        <v>0</v>
      </c>
      <c r="D19" s="495" t="s">
        <v>549</v>
      </c>
      <c r="E19" s="463"/>
      <c r="F19" s="869" t="s">
        <v>506</v>
      </c>
      <c r="G19" s="869"/>
      <c r="H19" s="878"/>
      <c r="I19" s="878"/>
      <c r="J19" s="878"/>
      <c r="K19" s="488"/>
      <c r="L19" s="453" t="s">
        <v>500</v>
      </c>
      <c r="M19" s="491">
        <v>-0.7</v>
      </c>
      <c r="N19" s="492">
        <f>IF(C$8=0,0,C19/C$8)</f>
        <v>0</v>
      </c>
      <c r="O19" s="881"/>
      <c r="P19" s="493">
        <f t="shared" si="1"/>
        <v>0</v>
      </c>
      <c r="Q19" s="494">
        <f t="shared" si="2"/>
        <v>0</v>
      </c>
      <c r="R19" s="461" t="str">
        <f t="shared" si="3"/>
        <v/>
      </c>
      <c r="V19" s="111"/>
    </row>
    <row r="20" spans="2:31" ht="12.75" customHeight="1" x14ac:dyDescent="0.25">
      <c r="B20" s="498" t="str">
        <f>IF(F8=100%,"doplňte rozsah opatření (jinak zůstane 100% neplnění):","")</f>
        <v/>
      </c>
      <c r="C20" s="499" t="str">
        <f>IF(F8=100%,"↓","")</f>
        <v/>
      </c>
      <c r="D20" s="500"/>
      <c r="E20" s="500"/>
      <c r="F20" s="871" t="s">
        <v>512</v>
      </c>
      <c r="G20" s="871"/>
      <c r="H20" s="501"/>
      <c r="I20" s="868"/>
      <c r="J20" s="868"/>
      <c r="K20" s="502"/>
      <c r="O20" s="251" t="s">
        <v>504</v>
      </c>
      <c r="P20" s="503" t="str">
        <f>IF(C8=0,"",P8+SUM(P14:P19))</f>
        <v/>
      </c>
      <c r="Q20" s="504" t="str">
        <f>IF(C8=0,"",Q8+SUM(Q14:Q19))</f>
        <v/>
      </c>
      <c r="R20" s="505" t="str">
        <f t="shared" si="3"/>
        <v/>
      </c>
      <c r="S20" s="506"/>
    </row>
    <row r="21" spans="2:31" ht="3" customHeight="1" x14ac:dyDescent="0.25">
      <c r="B21" s="5"/>
      <c r="C21" s="5"/>
      <c r="D21" s="507"/>
      <c r="E21" s="507"/>
      <c r="H21" s="5"/>
      <c r="I21" s="868"/>
      <c r="J21" s="868"/>
      <c r="K21" s="502"/>
      <c r="L21" s="5"/>
      <c r="M21" s="5"/>
      <c r="N21" s="5"/>
      <c r="O21" s="5"/>
      <c r="R21" s="120"/>
    </row>
    <row r="22" spans="2:31" ht="13.5" customHeight="1" x14ac:dyDescent="0.25">
      <c r="B22" s="508" t="s">
        <v>677</v>
      </c>
      <c r="C22" s="449" t="s">
        <v>505</v>
      </c>
      <c r="D22" s="454" t="s">
        <v>678</v>
      </c>
      <c r="E22" s="455"/>
      <c r="H22" s="258"/>
      <c r="I22" s="258"/>
      <c r="J22" s="258"/>
      <c r="K22" s="450"/>
      <c r="L22" s="509" t="str">
        <f>B22</f>
        <v>Dodání organické hmoty do půdy (2024/2025) – z listu "O.24-25"</v>
      </c>
      <c r="M22" s="133" t="s">
        <v>486</v>
      </c>
      <c r="N22" s="133" t="s">
        <v>507</v>
      </c>
      <c r="O22" s="133" t="s">
        <v>508</v>
      </c>
      <c r="P22" s="133"/>
      <c r="Q22" s="510" t="s">
        <v>509</v>
      </c>
      <c r="R22" s="511" t="s">
        <v>510</v>
      </c>
      <c r="S22" s="194" t="s">
        <v>511</v>
      </c>
      <c r="V22" s="259"/>
      <c r="W22" s="259"/>
      <c r="X22" s="259"/>
      <c r="Y22" s="259"/>
      <c r="Z22" s="259"/>
      <c r="AA22" s="259"/>
    </row>
    <row r="23" spans="2:31" ht="12.95" customHeight="1" x14ac:dyDescent="0.25">
      <c r="B23" s="608" t="s">
        <v>679</v>
      </c>
      <c r="C23" s="634">
        <f>'O.24-25'!B88</f>
        <v>0</v>
      </c>
      <c r="D23" s="870"/>
      <c r="E23" s="512"/>
      <c r="H23" s="5"/>
      <c r="I23" s="513">
        <v>0.22</v>
      </c>
      <c r="J23" s="513"/>
      <c r="K23" s="478"/>
      <c r="L23" s="260" t="str">
        <f>B23</f>
        <v>Hnůj, separát kejdy – řádky s dalšími hnojivy jsou skryty...</v>
      </c>
      <c r="M23" s="491">
        <v>1</v>
      </c>
      <c r="N23" s="514">
        <v>30</v>
      </c>
      <c r="O23" s="493">
        <v>0.22</v>
      </c>
      <c r="P23" s="493">
        <f>J23</f>
        <v>0</v>
      </c>
      <c r="Q23" s="494">
        <f>(C23/N23)*M23</f>
        <v>0</v>
      </c>
      <c r="R23" s="461" t="str">
        <f t="shared" ref="R23:R38" si="4">IF(C$8=0,"",((30*0.165)*Q23)/C$8)</f>
        <v/>
      </c>
      <c r="V23" s="515"/>
      <c r="W23" s="261"/>
      <c r="X23" s="262"/>
      <c r="Y23" s="263"/>
      <c r="Z23" s="264"/>
      <c r="AA23" s="262"/>
    </row>
    <row r="24" spans="2:31" ht="12.95" hidden="1" customHeight="1" x14ac:dyDescent="0.25">
      <c r="B24" s="608" t="s">
        <v>418</v>
      </c>
      <c r="C24" s="634">
        <f>'O.24-25'!B89</f>
        <v>0</v>
      </c>
      <c r="D24" s="870"/>
      <c r="E24" s="512"/>
      <c r="G24" s="516"/>
      <c r="H24" s="5"/>
      <c r="I24" s="513">
        <v>0.23</v>
      </c>
      <c r="J24" s="513"/>
      <c r="K24" s="478"/>
      <c r="L24" s="260" t="str">
        <f t="shared" ref="L24:L38" si="5">B24</f>
        <v>Separát digestátu, tuhý digestát</v>
      </c>
      <c r="M24" s="491">
        <v>0.75</v>
      </c>
      <c r="N24" s="514">
        <v>25</v>
      </c>
      <c r="O24" s="493">
        <v>0.23</v>
      </c>
      <c r="P24" s="493">
        <f t="shared" ref="P24:P38" si="6">J24</f>
        <v>0</v>
      </c>
      <c r="Q24" s="494">
        <f t="shared" ref="Q24:Q38" si="7">(C24/N24)*M24</f>
        <v>0</v>
      </c>
      <c r="R24" s="461" t="str">
        <f t="shared" si="4"/>
        <v/>
      </c>
      <c r="V24" s="515"/>
      <c r="W24" s="261"/>
      <c r="X24" s="262"/>
      <c r="Y24" s="263"/>
      <c r="Z24" s="264"/>
      <c r="AA24" s="262"/>
    </row>
    <row r="25" spans="2:31" ht="12.95" hidden="1" customHeight="1" x14ac:dyDescent="0.25">
      <c r="B25" s="608" t="s">
        <v>419</v>
      </c>
      <c r="C25" s="634">
        <f>'O.24-25'!B90</f>
        <v>0</v>
      </c>
      <c r="D25" s="870"/>
      <c r="E25" s="512"/>
      <c r="G25" s="516"/>
      <c r="H25" s="5"/>
      <c r="I25" s="513">
        <v>0.4</v>
      </c>
      <c r="J25" s="513"/>
      <c r="K25" s="478"/>
      <c r="L25" s="260" t="str">
        <f t="shared" si="5"/>
        <v>Kompost s poměrem C:N 10 a vyšším</v>
      </c>
      <c r="M25" s="491">
        <v>1</v>
      </c>
      <c r="N25" s="514">
        <v>15</v>
      </c>
      <c r="O25" s="493">
        <v>0.4</v>
      </c>
      <c r="P25" s="493">
        <f t="shared" si="6"/>
        <v>0</v>
      </c>
      <c r="Q25" s="494">
        <f t="shared" si="7"/>
        <v>0</v>
      </c>
      <c r="R25" s="461" t="str">
        <f t="shared" si="4"/>
        <v/>
      </c>
      <c r="V25" s="515"/>
      <c r="W25" s="261"/>
      <c r="X25" s="262"/>
      <c r="Y25" s="263"/>
      <c r="Z25" s="264"/>
      <c r="AA25" s="262"/>
    </row>
    <row r="26" spans="2:31" ht="12.95" hidden="1" customHeight="1" x14ac:dyDescent="0.25">
      <c r="B26" s="608" t="s">
        <v>513</v>
      </c>
      <c r="C26" s="634">
        <f>'O.24-25'!B91</f>
        <v>0</v>
      </c>
      <c r="D26" s="870"/>
      <c r="E26" s="512"/>
      <c r="H26" s="5"/>
      <c r="I26" s="513">
        <v>0.4</v>
      </c>
      <c r="J26" s="513"/>
      <c r="K26" s="478"/>
      <c r="L26" s="260" t="str">
        <f t="shared" si="5"/>
        <v>Kompost s poměrem C:N nižším než 10</v>
      </c>
      <c r="M26" s="491">
        <v>0.65</v>
      </c>
      <c r="N26" s="514">
        <v>15</v>
      </c>
      <c r="O26" s="493">
        <v>0.4</v>
      </c>
      <c r="P26" s="493">
        <f t="shared" si="6"/>
        <v>0</v>
      </c>
      <c r="Q26" s="494">
        <f t="shared" si="7"/>
        <v>0</v>
      </c>
      <c r="R26" s="461" t="str">
        <f t="shared" si="4"/>
        <v/>
      </c>
      <c r="V26" s="515"/>
      <c r="W26" s="261"/>
      <c r="X26" s="262"/>
      <c r="Y26" s="263"/>
      <c r="Z26" s="264"/>
      <c r="AA26" s="262"/>
    </row>
    <row r="27" spans="2:31" ht="12.95" hidden="1" customHeight="1" x14ac:dyDescent="0.25">
      <c r="B27" s="608" t="s">
        <v>514</v>
      </c>
      <c r="C27" s="634">
        <f>'O.24-25'!B92</f>
        <v>0</v>
      </c>
      <c r="D27" s="870"/>
      <c r="E27" s="512"/>
      <c r="G27" s="516"/>
      <c r="H27" s="5"/>
      <c r="I27" s="513"/>
      <c r="J27" s="517"/>
      <c r="K27" s="518"/>
      <c r="L27" s="260" t="str">
        <f t="shared" si="5"/>
        <v>Upravený kal (ve 100% sušině)</v>
      </c>
      <c r="M27" s="491">
        <v>0.4</v>
      </c>
      <c r="N27" s="514">
        <v>5</v>
      </c>
      <c r="O27" s="493">
        <v>1</v>
      </c>
      <c r="P27" s="519"/>
      <c r="Q27" s="494">
        <f t="shared" si="7"/>
        <v>0</v>
      </c>
      <c r="R27" s="461" t="str">
        <f t="shared" si="4"/>
        <v/>
      </c>
      <c r="V27" s="515"/>
      <c r="W27" s="261"/>
      <c r="X27" s="262"/>
      <c r="Y27" s="263"/>
      <c r="Z27" s="264"/>
      <c r="AA27" s="262"/>
      <c r="AE27" s="262"/>
    </row>
    <row r="28" spans="2:31" ht="12.95" hidden="1" customHeight="1" x14ac:dyDescent="0.25">
      <c r="B28" s="608" t="s">
        <v>422</v>
      </c>
      <c r="C28" s="634">
        <f>'O.24-25'!B93</f>
        <v>0</v>
      </c>
      <c r="D28" s="870"/>
      <c r="E28" s="512"/>
      <c r="F28" s="479"/>
      <c r="G28" s="479"/>
      <c r="H28" s="5"/>
      <c r="I28" s="513">
        <v>7.2999999999999995E-2</v>
      </c>
      <c r="J28" s="513"/>
      <c r="K28" s="513"/>
      <c r="L28" s="260" t="str">
        <f t="shared" si="5"/>
        <v>Kejda skotu</v>
      </c>
      <c r="M28" s="491">
        <v>0.18</v>
      </c>
      <c r="N28" s="514">
        <v>20</v>
      </c>
      <c r="O28" s="493">
        <v>7.2999999999999995E-2</v>
      </c>
      <c r="P28" s="493">
        <f t="shared" si="6"/>
        <v>0</v>
      </c>
      <c r="Q28" s="494">
        <f t="shared" si="7"/>
        <v>0</v>
      </c>
      <c r="R28" s="461" t="str">
        <f t="shared" si="4"/>
        <v/>
      </c>
      <c r="V28" s="515"/>
      <c r="W28" s="261"/>
      <c r="X28" s="262"/>
      <c r="Y28" s="263"/>
      <c r="Z28" s="264"/>
      <c r="AA28" s="262"/>
      <c r="AE28" s="262"/>
    </row>
    <row r="29" spans="2:31" ht="12.95" hidden="1" customHeight="1" x14ac:dyDescent="0.25">
      <c r="B29" s="608" t="s">
        <v>95</v>
      </c>
      <c r="C29" s="634">
        <f>'O.24-25'!B94</f>
        <v>0</v>
      </c>
      <c r="D29" s="870"/>
      <c r="E29" s="512"/>
      <c r="F29" s="479"/>
      <c r="G29" s="479"/>
      <c r="H29" s="5"/>
      <c r="I29" s="513">
        <v>5.8000000000000003E-2</v>
      </c>
      <c r="J29" s="513"/>
      <c r="K29" s="513"/>
      <c r="L29" s="260" t="str">
        <f t="shared" si="5"/>
        <v>Fugát kejdy skotu</v>
      </c>
      <c r="M29" s="491">
        <v>0.15</v>
      </c>
      <c r="N29" s="514">
        <v>20</v>
      </c>
      <c r="O29" s="493">
        <v>5.8000000000000003E-2</v>
      </c>
      <c r="P29" s="493">
        <f t="shared" si="6"/>
        <v>0</v>
      </c>
      <c r="Q29" s="494">
        <f t="shared" si="7"/>
        <v>0</v>
      </c>
      <c r="R29" s="461" t="str">
        <f t="shared" si="4"/>
        <v/>
      </c>
      <c r="V29" s="515"/>
      <c r="W29" s="261"/>
      <c r="X29" s="262"/>
      <c r="Y29" s="263"/>
      <c r="Z29" s="264"/>
      <c r="AA29" s="262"/>
      <c r="AE29" s="262"/>
    </row>
    <row r="30" spans="2:31" ht="12.95" hidden="1" customHeight="1" x14ac:dyDescent="0.25">
      <c r="B30" s="608" t="s">
        <v>423</v>
      </c>
      <c r="C30" s="634">
        <f>'O.24-25'!B95</f>
        <v>0</v>
      </c>
      <c r="D30" s="870"/>
      <c r="E30" s="512"/>
      <c r="F30" s="479"/>
      <c r="G30" s="479"/>
      <c r="H30" s="5"/>
      <c r="I30" s="513">
        <v>5.2999999999999999E-2</v>
      </c>
      <c r="J30" s="513"/>
      <c r="K30" s="513"/>
      <c r="L30" s="260" t="str">
        <f t="shared" si="5"/>
        <v>Kejda prasat</v>
      </c>
      <c r="M30" s="491">
        <v>0.1</v>
      </c>
      <c r="N30" s="514">
        <v>20</v>
      </c>
      <c r="O30" s="493">
        <v>5.2999999999999999E-2</v>
      </c>
      <c r="P30" s="493">
        <f t="shared" si="6"/>
        <v>0</v>
      </c>
      <c r="Q30" s="494">
        <f t="shared" si="7"/>
        <v>0</v>
      </c>
      <c r="R30" s="461" t="str">
        <f t="shared" si="4"/>
        <v/>
      </c>
      <c r="V30" s="515"/>
      <c r="W30" s="261"/>
      <c r="X30" s="262"/>
      <c r="Y30" s="263"/>
      <c r="Z30" s="264"/>
      <c r="AA30" s="262"/>
      <c r="AE30" s="262"/>
    </row>
    <row r="31" spans="2:31" ht="12.95" hidden="1" customHeight="1" x14ac:dyDescent="0.25">
      <c r="B31" s="608" t="s">
        <v>97</v>
      </c>
      <c r="C31" s="634">
        <f>'O.24-25'!B96</f>
        <v>0</v>
      </c>
      <c r="D31" s="870"/>
      <c r="E31" s="512"/>
      <c r="F31" s="479"/>
      <c r="G31" s="479"/>
      <c r="H31" s="5"/>
      <c r="I31" s="513">
        <v>3.4000000000000002E-2</v>
      </c>
      <c r="J31" s="513"/>
      <c r="K31" s="513"/>
      <c r="L31" s="260" t="str">
        <f t="shared" si="5"/>
        <v>Fugát kejdy prasat</v>
      </c>
      <c r="M31" s="491">
        <v>7.0000000000000007E-2</v>
      </c>
      <c r="N31" s="514">
        <v>20</v>
      </c>
      <c r="O31" s="493">
        <v>3.4000000000000002E-2</v>
      </c>
      <c r="P31" s="493">
        <f t="shared" si="6"/>
        <v>0</v>
      </c>
      <c r="Q31" s="494">
        <f t="shared" si="7"/>
        <v>0</v>
      </c>
      <c r="R31" s="461" t="str">
        <f t="shared" si="4"/>
        <v/>
      </c>
      <c r="V31" s="515"/>
      <c r="W31" s="261"/>
      <c r="X31" s="262"/>
      <c r="Y31" s="263"/>
      <c r="Z31" s="264"/>
      <c r="AA31" s="262"/>
      <c r="AE31" s="262"/>
    </row>
    <row r="32" spans="2:31" ht="12.95" hidden="1" customHeight="1" x14ac:dyDescent="0.25">
      <c r="B32" s="608" t="s">
        <v>424</v>
      </c>
      <c r="C32" s="634">
        <f>'O.24-25'!B97</f>
        <v>0</v>
      </c>
      <c r="D32" s="870"/>
      <c r="E32" s="512"/>
      <c r="F32" s="479"/>
      <c r="G32" s="479"/>
      <c r="H32" s="5"/>
      <c r="I32" s="513">
        <v>6.5000000000000002E-2</v>
      </c>
      <c r="J32" s="513"/>
      <c r="K32" s="513"/>
      <c r="L32" s="260" t="str">
        <f t="shared" si="5"/>
        <v>Digestát</v>
      </c>
      <c r="M32" s="491">
        <v>0.15</v>
      </c>
      <c r="N32" s="514">
        <v>20</v>
      </c>
      <c r="O32" s="493">
        <v>6.5000000000000002E-2</v>
      </c>
      <c r="P32" s="493">
        <f t="shared" si="6"/>
        <v>0</v>
      </c>
      <c r="Q32" s="494">
        <f t="shared" si="7"/>
        <v>0</v>
      </c>
      <c r="R32" s="461" t="str">
        <f t="shared" si="4"/>
        <v/>
      </c>
      <c r="V32" s="515"/>
      <c r="W32" s="261"/>
      <c r="X32" s="262"/>
      <c r="Y32" s="263"/>
      <c r="Z32" s="264"/>
      <c r="AA32" s="262"/>
      <c r="AE32" s="262"/>
    </row>
    <row r="33" spans="2:31" ht="12.95" hidden="1" customHeight="1" x14ac:dyDescent="0.25">
      <c r="B33" s="608" t="s">
        <v>99</v>
      </c>
      <c r="C33" s="634">
        <f>'O.24-25'!B98</f>
        <v>0</v>
      </c>
      <c r="D33" s="870"/>
      <c r="E33" s="512"/>
      <c r="F33" s="479"/>
      <c r="G33" s="479"/>
      <c r="H33" s="5"/>
      <c r="I33" s="513">
        <v>4.2999999999999997E-2</v>
      </c>
      <c r="J33" s="513"/>
      <c r="K33" s="513"/>
      <c r="L33" s="260" t="str">
        <f t="shared" si="5"/>
        <v>Fugát digestátu</v>
      </c>
      <c r="M33" s="491">
        <v>0.1</v>
      </c>
      <c r="N33" s="514">
        <v>20</v>
      </c>
      <c r="O33" s="493">
        <v>4.2999999999999997E-2</v>
      </c>
      <c r="P33" s="493">
        <f t="shared" si="6"/>
        <v>0</v>
      </c>
      <c r="Q33" s="494">
        <f t="shared" si="7"/>
        <v>0</v>
      </c>
      <c r="R33" s="461" t="str">
        <f t="shared" si="4"/>
        <v/>
      </c>
      <c r="V33" s="515"/>
      <c r="W33" s="261"/>
      <c r="X33" s="262"/>
      <c r="Y33" s="263"/>
      <c r="Z33" s="264"/>
      <c r="AA33" s="262"/>
      <c r="AE33" s="262"/>
    </row>
    <row r="34" spans="2:31" ht="12.95" hidden="1" customHeight="1" x14ac:dyDescent="0.25">
      <c r="B34" s="608" t="s">
        <v>425</v>
      </c>
      <c r="C34" s="634">
        <f>'O.24-25'!B99</f>
        <v>0</v>
      </c>
      <c r="D34" s="870"/>
      <c r="E34" s="512"/>
      <c r="F34" s="479"/>
      <c r="G34" s="479"/>
      <c r="H34" s="5"/>
      <c r="I34" s="513">
        <v>0.3</v>
      </c>
      <c r="J34" s="513"/>
      <c r="K34" s="513"/>
      <c r="L34" s="260" t="str">
        <f t="shared" si="5"/>
        <v>Výpalky melasové zahuštěné</v>
      </c>
      <c r="M34" s="491">
        <v>0.15</v>
      </c>
      <c r="N34" s="514">
        <v>5</v>
      </c>
      <c r="O34" s="493">
        <v>0.3</v>
      </c>
      <c r="P34" s="493">
        <f t="shared" si="6"/>
        <v>0</v>
      </c>
      <c r="Q34" s="494">
        <f t="shared" si="7"/>
        <v>0</v>
      </c>
      <c r="R34" s="461" t="str">
        <f t="shared" si="4"/>
        <v/>
      </c>
      <c r="V34" s="515"/>
      <c r="W34" s="261"/>
      <c r="X34" s="262"/>
      <c r="Y34" s="263"/>
      <c r="Z34" s="264"/>
      <c r="AA34" s="262"/>
      <c r="AE34" s="262"/>
    </row>
    <row r="35" spans="2:31" ht="12.95" hidden="1" customHeight="1" x14ac:dyDescent="0.25">
      <c r="B35" s="608" t="s">
        <v>426</v>
      </c>
      <c r="C35" s="634">
        <f>'O.24-25'!B100</f>
        <v>0</v>
      </c>
      <c r="D35" s="870"/>
      <c r="E35" s="512"/>
      <c r="F35" s="479"/>
      <c r="G35" s="479"/>
      <c r="H35" s="5"/>
      <c r="I35" s="513">
        <v>0.05</v>
      </c>
      <c r="J35" s="513"/>
      <c r="K35" s="513"/>
      <c r="L35" s="260" t="str">
        <f t="shared" si="5"/>
        <v>Výpalky lihovarnické</v>
      </c>
      <c r="M35" s="491">
        <v>0.1</v>
      </c>
      <c r="N35" s="514">
        <v>20</v>
      </c>
      <c r="O35" s="493">
        <v>0.05</v>
      </c>
      <c r="P35" s="493">
        <f t="shared" si="6"/>
        <v>0</v>
      </c>
      <c r="Q35" s="494">
        <f t="shared" si="7"/>
        <v>0</v>
      </c>
      <c r="R35" s="461" t="str">
        <f t="shared" si="4"/>
        <v/>
      </c>
      <c r="V35" s="515"/>
      <c r="W35" s="261"/>
      <c r="X35" s="262"/>
      <c r="Y35" s="263"/>
      <c r="Z35" s="264"/>
      <c r="AA35" s="262"/>
      <c r="AE35" s="262"/>
    </row>
    <row r="36" spans="2:31" ht="12.95" hidden="1" customHeight="1" x14ac:dyDescent="0.25">
      <c r="B36" s="608" t="s">
        <v>427</v>
      </c>
      <c r="C36" s="634">
        <f>'O.24-25'!B101</f>
        <v>0</v>
      </c>
      <c r="D36" s="870"/>
      <c r="E36" s="512"/>
      <c r="F36" s="479"/>
      <c r="G36" s="479"/>
      <c r="H36" s="5"/>
      <c r="I36" s="513">
        <v>0.73</v>
      </c>
      <c r="J36" s="513"/>
      <c r="K36" s="513"/>
      <c r="L36" s="260" t="str">
        <f t="shared" si="5"/>
        <v>Drůbeží trus sušený</v>
      </c>
      <c r="M36" s="491">
        <v>0.3</v>
      </c>
      <c r="N36" s="514">
        <v>5</v>
      </c>
      <c r="O36" s="493">
        <v>0.73</v>
      </c>
      <c r="P36" s="493">
        <f t="shared" si="6"/>
        <v>0</v>
      </c>
      <c r="Q36" s="494">
        <f t="shared" si="7"/>
        <v>0</v>
      </c>
      <c r="R36" s="461" t="str">
        <f t="shared" si="4"/>
        <v/>
      </c>
      <c r="V36" s="515"/>
      <c r="W36" s="261"/>
      <c r="X36" s="262"/>
      <c r="Y36" s="263"/>
      <c r="Z36" s="264"/>
      <c r="AA36" s="262"/>
      <c r="AE36" s="262"/>
    </row>
    <row r="37" spans="2:31" ht="12.95" hidden="1" customHeight="1" x14ac:dyDescent="0.25">
      <c r="B37" s="608" t="s">
        <v>7</v>
      </c>
      <c r="C37" s="634">
        <f>'O.24-25'!B102</f>
        <v>0</v>
      </c>
      <c r="D37" s="870"/>
      <c r="E37" s="512"/>
      <c r="F37" s="479"/>
      <c r="G37" s="479"/>
      <c r="H37" s="5"/>
      <c r="I37" s="513">
        <v>0.42</v>
      </c>
      <c r="J37" s="513"/>
      <c r="K37" s="513"/>
      <c r="L37" s="260" t="str">
        <f t="shared" si="5"/>
        <v>Drůbeží trus s podestýlkou</v>
      </c>
      <c r="M37" s="491">
        <v>0.17</v>
      </c>
      <c r="N37" s="514">
        <v>5</v>
      </c>
      <c r="O37" s="493">
        <v>0.42</v>
      </c>
      <c r="P37" s="493">
        <f t="shared" si="6"/>
        <v>0</v>
      </c>
      <c r="Q37" s="494">
        <f t="shared" si="7"/>
        <v>0</v>
      </c>
      <c r="R37" s="461" t="str">
        <f t="shared" si="4"/>
        <v/>
      </c>
      <c r="V37" s="515"/>
      <c r="W37" s="261"/>
      <c r="X37" s="262"/>
      <c r="Y37" s="263"/>
      <c r="Z37" s="264"/>
      <c r="AA37" s="262"/>
      <c r="AE37" s="262"/>
    </row>
    <row r="38" spans="2:31" ht="12.95" hidden="1" customHeight="1" x14ac:dyDescent="0.25">
      <c r="B38" s="608" t="s">
        <v>428</v>
      </c>
      <c r="C38" s="634">
        <f>'O.24-25'!B103</f>
        <v>0</v>
      </c>
      <c r="D38" s="870"/>
      <c r="E38" s="512"/>
      <c r="F38" s="479"/>
      <c r="G38" s="479"/>
      <c r="H38" s="5"/>
      <c r="I38" s="513">
        <v>0.32</v>
      </c>
      <c r="J38" s="513"/>
      <c r="K38" s="513"/>
      <c r="L38" s="260" t="str">
        <f t="shared" si="5"/>
        <v>Drůbeží trus uleželý</v>
      </c>
      <c r="M38" s="491">
        <v>0.13</v>
      </c>
      <c r="N38" s="514">
        <v>5</v>
      </c>
      <c r="O38" s="493">
        <v>0.32</v>
      </c>
      <c r="P38" s="493">
        <f t="shared" si="6"/>
        <v>0</v>
      </c>
      <c r="Q38" s="494">
        <f t="shared" si="7"/>
        <v>0</v>
      </c>
      <c r="R38" s="461" t="str">
        <f t="shared" si="4"/>
        <v/>
      </c>
      <c r="V38" s="515"/>
      <c r="W38" s="261"/>
      <c r="X38" s="262"/>
      <c r="Y38" s="263"/>
      <c r="Z38" s="264"/>
      <c r="AA38" s="262"/>
      <c r="AE38" s="262"/>
    </row>
    <row r="39" spans="2:31" ht="13.35" customHeight="1" x14ac:dyDescent="0.25">
      <c r="B39" s="498" t="str">
        <f>IF(F8=100%,"doplňte rozsah opatření (jinak zůstane 100% neplnění):","")</f>
        <v/>
      </c>
      <c r="C39" s="499" t="str">
        <f>IF(F8=100%,"↓","")</f>
        <v/>
      </c>
      <c r="D39" s="470"/>
      <c r="E39" s="470"/>
      <c r="F39" s="520"/>
      <c r="G39" s="520"/>
      <c r="H39" s="520"/>
      <c r="I39" s="520"/>
      <c r="J39" s="520"/>
      <c r="K39" s="520"/>
      <c r="L39" s="521" t="s">
        <v>515</v>
      </c>
      <c r="M39" s="522"/>
      <c r="N39" s="523"/>
      <c r="O39" s="524"/>
      <c r="P39" s="458"/>
      <c r="Q39" s="525">
        <f>SUM(Q23:Q38)</f>
        <v>0</v>
      </c>
      <c r="R39" s="505">
        <f>SUM(R23:R38)</f>
        <v>0</v>
      </c>
    </row>
    <row r="40" spans="2:31" ht="1.5" customHeight="1" x14ac:dyDescent="0.25">
      <c r="B40" s="5"/>
      <c r="C40" s="215"/>
      <c r="D40" s="470"/>
      <c r="E40" s="470"/>
      <c r="F40" s="429"/>
      <c r="G40" s="429"/>
      <c r="H40" s="429"/>
      <c r="I40" s="429"/>
      <c r="J40" s="429"/>
      <c r="K40" s="429"/>
      <c r="L40" s="5"/>
      <c r="M40" s="203"/>
      <c r="N40" s="526"/>
      <c r="O40" s="527"/>
      <c r="P40" s="528"/>
      <c r="Q40" s="529"/>
      <c r="R40" s="530"/>
    </row>
    <row r="41" spans="2:31" ht="13.5" customHeight="1" thickBot="1" x14ac:dyDescent="0.3">
      <c r="B41" s="509" t="s">
        <v>516</v>
      </c>
      <c r="C41" s="486" t="s">
        <v>396</v>
      </c>
      <c r="D41" s="454" t="s">
        <v>517</v>
      </c>
      <c r="E41" s="455"/>
      <c r="F41" s="450"/>
      <c r="G41" s="450"/>
      <c r="H41" s="450"/>
      <c r="I41" s="450"/>
      <c r="J41" s="450"/>
      <c r="K41" s="450"/>
      <c r="L41" s="509" t="str">
        <f>B41</f>
        <v>Dodání organické hmoty a další opatření (2024/2025)</v>
      </c>
      <c r="M41" s="133" t="s">
        <v>486</v>
      </c>
      <c r="N41" s="133"/>
      <c r="O41" s="511"/>
      <c r="P41" s="511"/>
      <c r="Q41" s="510" t="s">
        <v>509</v>
      </c>
      <c r="R41" s="511" t="s">
        <v>510</v>
      </c>
      <c r="S41" s="194" t="s">
        <v>511</v>
      </c>
    </row>
    <row r="42" spans="2:31" ht="16.5" customHeight="1" thickBot="1" x14ac:dyDescent="0.3">
      <c r="B42" s="609" t="s">
        <v>598</v>
      </c>
      <c r="C42" s="349"/>
      <c r="D42" s="462" t="s">
        <v>601</v>
      </c>
      <c r="E42" s="463"/>
      <c r="F42" s="466"/>
      <c r="G42" s="466"/>
      <c r="H42" s="466"/>
      <c r="I42" s="466"/>
      <c r="J42" s="466"/>
      <c r="K42" s="466"/>
      <c r="L42" s="531" t="str">
        <f>B42</f>
        <v>Sláma po sklizni kukuřice CCM</v>
      </c>
      <c r="M42" s="491">
        <v>0.5</v>
      </c>
      <c r="N42" s="492"/>
      <c r="O42" s="532"/>
      <c r="P42" s="532"/>
      <c r="Q42" s="494">
        <f t="shared" ref="Q42:Q55" si="8">C42*M42</f>
        <v>0</v>
      </c>
      <c r="R42" s="461" t="str">
        <f t="shared" ref="R42:R55" si="9">IF(C$8=0,"",((30*0.165)*Q42)/C$8)</f>
        <v/>
      </c>
      <c r="V42" s="533"/>
      <c r="X42" s="221"/>
      <c r="Z42" s="263"/>
      <c r="AA42" s="262"/>
    </row>
    <row r="43" spans="2:31" ht="43.5" customHeight="1" thickBot="1" x14ac:dyDescent="0.3">
      <c r="B43" s="609" t="s">
        <v>599</v>
      </c>
      <c r="C43" s="635">
        <f>Plod.24!O80</f>
        <v>0</v>
      </c>
      <c r="D43" s="471" t="s">
        <v>600</v>
      </c>
      <c r="E43" s="463"/>
      <c r="F43" s="466"/>
      <c r="G43" s="466"/>
      <c r="H43" s="466"/>
      <c r="I43" s="466"/>
      <c r="J43" s="466"/>
      <c r="K43" s="466"/>
      <c r="L43" s="531" t="str">
        <f>B43</f>
        <v>Sláma obilnin (vč. kukuřice na zrno), olejnin, luskovin a dalších plodin pěstovaných na zrno či semeno (veškerá sláma, bez ohledu na přidání dusíku) atd.</v>
      </c>
      <c r="M43" s="491">
        <v>0.5</v>
      </c>
      <c r="N43" s="492"/>
      <c r="O43" s="532"/>
      <c r="P43" s="532"/>
      <c r="Q43" s="494">
        <f t="shared" ref="Q43" si="10">C43*M43</f>
        <v>0</v>
      </c>
      <c r="R43" s="461" t="str">
        <f t="shared" ref="R43" si="11">IF(C$8=0,"",((30*0.165)*Q43)/C$8)</f>
        <v/>
      </c>
      <c r="V43" s="533"/>
      <c r="X43" s="221"/>
      <c r="Z43" s="263"/>
      <c r="AA43" s="262"/>
    </row>
    <row r="44" spans="2:31" ht="28.7" customHeight="1" thickBot="1" x14ac:dyDescent="0.3">
      <c r="B44" s="610" t="s">
        <v>518</v>
      </c>
      <c r="C44" s="349"/>
      <c r="D44" s="462" t="s">
        <v>519</v>
      </c>
      <c r="E44" s="534"/>
      <c r="F44" s="466"/>
      <c r="G44" s="466"/>
      <c r="H44" s="466"/>
      <c r="I44" s="466"/>
      <c r="J44" s="466"/>
      <c r="K44" s="466"/>
      <c r="L44" s="531" t="str">
        <f t="shared" ref="L44:L55" si="12">B44</f>
        <v>… z toho kombinace: sláma obilnin + kejda, digestát, výpalky</v>
      </c>
      <c r="M44" s="491">
        <v>0.1</v>
      </c>
      <c r="N44" s="492"/>
      <c r="O44" s="532"/>
      <c r="P44" s="532"/>
      <c r="Q44" s="494">
        <f t="shared" si="8"/>
        <v>0</v>
      </c>
      <c r="R44" s="461" t="str">
        <f t="shared" si="9"/>
        <v/>
      </c>
      <c r="V44" s="533"/>
      <c r="X44" s="221"/>
      <c r="Y44" s="263"/>
      <c r="Z44" s="263"/>
      <c r="AA44" s="262"/>
    </row>
    <row r="45" spans="2:31" ht="12.95" customHeight="1" thickBot="1" x14ac:dyDescent="0.3">
      <c r="B45" s="608" t="s">
        <v>556</v>
      </c>
      <c r="C45" s="636">
        <f>Plod.24!O81</f>
        <v>0</v>
      </c>
      <c r="D45" s="535" t="s">
        <v>520</v>
      </c>
      <c r="E45" s="534"/>
      <c r="F45" s="466"/>
      <c r="G45" s="466"/>
      <c r="H45" s="466"/>
      <c r="I45" s="466"/>
      <c r="J45" s="466"/>
      <c r="K45" s="466"/>
      <c r="L45" s="531" t="str">
        <f t="shared" si="12"/>
        <v>Chrást</v>
      </c>
      <c r="M45" s="491">
        <v>0.25</v>
      </c>
      <c r="N45" s="492"/>
      <c r="O45" s="536"/>
      <c r="P45" s="536"/>
      <c r="Q45" s="494">
        <f t="shared" si="8"/>
        <v>0</v>
      </c>
      <c r="R45" s="461" t="str">
        <f t="shared" si="9"/>
        <v/>
      </c>
      <c r="V45" s="533"/>
      <c r="X45" s="221"/>
      <c r="Y45" s="263"/>
      <c r="Z45" s="263"/>
      <c r="AA45" s="262"/>
    </row>
    <row r="46" spans="2:31" ht="12.95" customHeight="1" x14ac:dyDescent="0.25">
      <c r="B46" s="610" t="s">
        <v>557</v>
      </c>
      <c r="C46" s="346"/>
      <c r="D46" s="537" t="s">
        <v>520</v>
      </c>
      <c r="E46" s="534"/>
      <c r="F46" s="466"/>
      <c r="G46" s="466"/>
      <c r="H46" s="466"/>
      <c r="I46" s="466"/>
      <c r="J46" s="466"/>
      <c r="K46" s="466"/>
      <c r="L46" s="531" t="str">
        <f t="shared" ref="L46" si="13">B46</f>
        <v>Nesklizené hlavní plodiny</v>
      </c>
      <c r="M46" s="491">
        <v>0.25</v>
      </c>
      <c r="N46" s="492"/>
      <c r="O46" s="536"/>
      <c r="P46" s="536"/>
      <c r="Q46" s="494">
        <f t="shared" ref="Q46" si="14">C46*M46</f>
        <v>0</v>
      </c>
      <c r="R46" s="461" t="str">
        <f t="shared" ref="R46" si="15">IF(C$8=0,"",((30*0.165)*Q46)/C$8)</f>
        <v/>
      </c>
      <c r="V46" s="533"/>
      <c r="X46" s="221"/>
      <c r="Y46" s="263"/>
      <c r="Z46" s="263"/>
      <c r="AA46" s="262"/>
    </row>
    <row r="47" spans="2:31" ht="12.95" customHeight="1" x14ac:dyDescent="0.25">
      <c r="B47" s="610" t="s">
        <v>521</v>
      </c>
      <c r="C47" s="347"/>
      <c r="D47" s="537" t="s">
        <v>433</v>
      </c>
      <c r="E47" s="534"/>
      <c r="F47" s="466"/>
      <c r="G47" s="466"/>
      <c r="H47" s="466"/>
      <c r="I47" s="466"/>
      <c r="J47" s="466"/>
      <c r="K47" s="466"/>
      <c r="L47" s="531" t="str">
        <f t="shared" si="12"/>
        <v>Nesklizený obrost víceletých pícnin</v>
      </c>
      <c r="M47" s="491">
        <v>0.2</v>
      </c>
      <c r="N47" s="492"/>
      <c r="O47" s="536"/>
      <c r="P47" s="536"/>
      <c r="Q47" s="494">
        <f t="shared" si="8"/>
        <v>0</v>
      </c>
      <c r="R47" s="461" t="str">
        <f t="shared" si="9"/>
        <v/>
      </c>
      <c r="V47" s="533"/>
      <c r="X47" s="221"/>
      <c r="Y47" s="263"/>
      <c r="Z47" s="263"/>
      <c r="AA47" s="262"/>
    </row>
    <row r="48" spans="2:31" ht="12.95" customHeight="1" x14ac:dyDescent="0.25">
      <c r="B48" s="610" t="s">
        <v>522</v>
      </c>
      <c r="C48" s="347"/>
      <c r="D48" s="537" t="s">
        <v>434</v>
      </c>
      <c r="E48" s="534"/>
      <c r="F48" s="466"/>
      <c r="G48" s="466"/>
      <c r="H48" s="466"/>
      <c r="I48" s="466"/>
      <c r="J48" s="466"/>
      <c r="K48" s="466"/>
      <c r="L48" s="531" t="str">
        <f t="shared" si="12"/>
        <v xml:space="preserve">Meziplodiny na zelené hnojení – následuje ozimá plodina </v>
      </c>
      <c r="M48" s="491">
        <v>0.2</v>
      </c>
      <c r="N48" s="492"/>
      <c r="O48" s="536"/>
      <c r="P48" s="536"/>
      <c r="Q48" s="494">
        <f t="shared" si="8"/>
        <v>0</v>
      </c>
      <c r="R48" s="461" t="str">
        <f t="shared" si="9"/>
        <v/>
      </c>
    </row>
    <row r="49" spans="2:19" ht="12.95" customHeight="1" x14ac:dyDescent="0.25">
      <c r="B49" s="610" t="s">
        <v>523</v>
      </c>
      <c r="C49" s="347"/>
      <c r="D49" s="537" t="s">
        <v>435</v>
      </c>
      <c r="E49" s="534"/>
      <c r="F49" s="466"/>
      <c r="G49" s="466"/>
      <c r="H49" s="466"/>
      <c r="I49" s="466"/>
      <c r="J49" s="466"/>
      <c r="K49" s="466"/>
      <c r="L49" s="531" t="str">
        <f t="shared" si="12"/>
        <v>Meziplodiny na zelené hnojení – následuje jarní plodina</v>
      </c>
      <c r="M49" s="491">
        <v>0.35</v>
      </c>
      <c r="N49" s="492"/>
      <c r="O49" s="536"/>
      <c r="P49" s="536"/>
      <c r="Q49" s="494">
        <f t="shared" si="8"/>
        <v>0</v>
      </c>
      <c r="R49" s="461" t="str">
        <f t="shared" si="9"/>
        <v/>
      </c>
    </row>
    <row r="50" spans="2:19" ht="12.95" customHeight="1" x14ac:dyDescent="0.25">
      <c r="B50" s="610" t="s">
        <v>524</v>
      </c>
      <c r="C50" s="347"/>
      <c r="D50" s="537" t="s">
        <v>436</v>
      </c>
      <c r="E50" s="534"/>
      <c r="F50" s="466"/>
      <c r="G50" s="466"/>
      <c r="H50" s="466"/>
      <c r="I50" s="466"/>
      <c r="J50" s="466"/>
      <c r="K50" s="466"/>
      <c r="L50" s="531" t="str">
        <f t="shared" si="12"/>
        <v>Meziplodiny – současně s hlavní plodinou</v>
      </c>
      <c r="M50" s="491">
        <v>0.2</v>
      </c>
      <c r="N50" s="492"/>
      <c r="O50" s="536"/>
      <c r="P50" s="536"/>
      <c r="Q50" s="494">
        <f t="shared" si="8"/>
        <v>0</v>
      </c>
      <c r="R50" s="461" t="str">
        <f t="shared" si="9"/>
        <v/>
      </c>
    </row>
    <row r="51" spans="2:19" ht="12.95" customHeight="1" x14ac:dyDescent="0.25">
      <c r="B51" s="610" t="s">
        <v>525</v>
      </c>
      <c r="C51" s="347"/>
      <c r="D51" s="537" t="s">
        <v>526</v>
      </c>
      <c r="E51" s="534"/>
      <c r="F51" s="466"/>
      <c r="G51" s="466"/>
      <c r="H51" s="466"/>
      <c r="I51" s="466"/>
      <c r="J51" s="466"/>
      <c r="K51" s="466"/>
      <c r="L51" s="531" t="str">
        <f>B51</f>
        <v>Meziplodiny – odvoz zelené hmoty</v>
      </c>
      <c r="M51" s="491">
        <v>0.1</v>
      </c>
      <c r="N51" s="492"/>
      <c r="O51" s="536"/>
      <c r="P51" s="536"/>
      <c r="Q51" s="494">
        <f t="shared" si="8"/>
        <v>0</v>
      </c>
      <c r="R51" s="461" t="str">
        <f>IF(C$8=0,"",((30*0.165)*Q51)/C$8)</f>
        <v/>
      </c>
    </row>
    <row r="52" spans="2:19" ht="12.95" customHeight="1" x14ac:dyDescent="0.25">
      <c r="B52" s="610" t="s">
        <v>527</v>
      </c>
      <c r="C52" s="347"/>
      <c r="D52" s="537" t="s">
        <v>528</v>
      </c>
      <c r="E52" s="534"/>
      <c r="F52" s="466"/>
      <c r="G52" s="466"/>
      <c r="H52" s="466"/>
      <c r="I52" s="466"/>
      <c r="J52" s="466"/>
      <c r="K52" s="466"/>
      <c r="L52" s="531" t="str">
        <f t="shared" si="12"/>
        <v>Úhory a ochr. pásy* (JŽ, květen 2025) – bez odvozu zelené hmoty</v>
      </c>
      <c r="M52" s="491">
        <v>0.45</v>
      </c>
      <c r="N52" s="492"/>
      <c r="O52" s="536"/>
      <c r="P52" s="536"/>
      <c r="Q52" s="494">
        <f t="shared" si="8"/>
        <v>0</v>
      </c>
      <c r="R52" s="461" t="str">
        <f t="shared" si="9"/>
        <v/>
      </c>
    </row>
    <row r="53" spans="2:19" ht="12.95" customHeight="1" x14ac:dyDescent="0.25">
      <c r="B53" s="610" t="s">
        <v>529</v>
      </c>
      <c r="C53" s="347"/>
      <c r="D53" s="537" t="s">
        <v>530</v>
      </c>
      <c r="E53" s="534"/>
      <c r="F53" s="466"/>
      <c r="G53" s="466"/>
      <c r="H53" s="466"/>
      <c r="I53" s="466"/>
      <c r="J53" s="466"/>
      <c r="K53" s="466"/>
      <c r="L53" s="531" t="str">
        <f t="shared" si="12"/>
        <v>Úhory a ochr. pásy* (JŽ, květen 2025) – odvoz zelené hmoty</v>
      </c>
      <c r="M53" s="491">
        <v>0.1</v>
      </c>
      <c r="N53" s="492"/>
      <c r="O53" s="536"/>
      <c r="P53" s="536"/>
      <c r="Q53" s="494">
        <f t="shared" si="8"/>
        <v>0</v>
      </c>
      <c r="R53" s="461" t="str">
        <f t="shared" si="9"/>
        <v/>
      </c>
    </row>
    <row r="54" spans="2:19" ht="12.95" customHeight="1" x14ac:dyDescent="0.25">
      <c r="B54" s="610" t="s">
        <v>612</v>
      </c>
      <c r="C54" s="347"/>
      <c r="D54" s="537" t="s">
        <v>439</v>
      </c>
      <c r="E54" s="534"/>
      <c r="F54" s="466"/>
      <c r="G54" s="466"/>
      <c r="H54" s="466"/>
      <c r="I54" s="466"/>
      <c r="J54" s="466"/>
      <c r="K54" s="466"/>
      <c r="L54" s="531" t="str">
        <f t="shared" si="12"/>
        <v>Strip-till (vyplňte i tabulku č. 7 v listu "Mod.OH2")</v>
      </c>
      <c r="M54" s="491">
        <v>0.2</v>
      </c>
      <c r="N54" s="492"/>
      <c r="O54" s="532"/>
      <c r="P54" s="532"/>
      <c r="Q54" s="494">
        <f t="shared" si="8"/>
        <v>0</v>
      </c>
      <c r="R54" s="461" t="str">
        <f t="shared" si="9"/>
        <v/>
      </c>
    </row>
    <row r="55" spans="2:19" ht="12.95" customHeight="1" thickBot="1" x14ac:dyDescent="0.3">
      <c r="B55" s="611" t="s">
        <v>613</v>
      </c>
      <c r="C55" s="348"/>
      <c r="D55" s="538" t="s">
        <v>531</v>
      </c>
      <c r="E55" s="534"/>
      <c r="F55" s="466"/>
      <c r="G55" s="466"/>
      <c r="H55" s="466"/>
      <c r="I55" s="466"/>
      <c r="J55" s="466"/>
      <c r="K55" s="466"/>
      <c r="L55" s="531" t="str">
        <f t="shared" si="12"/>
        <v>Přímé setí (vyplňte i tabulku č. 7 v listu "Mod.OH2")</v>
      </c>
      <c r="M55" s="491">
        <v>0.2</v>
      </c>
      <c r="N55" s="492"/>
      <c r="O55" s="532"/>
      <c r="P55" s="532"/>
      <c r="Q55" s="494">
        <f t="shared" si="8"/>
        <v>0</v>
      </c>
      <c r="R55" s="461" t="str">
        <f t="shared" si="9"/>
        <v/>
      </c>
    </row>
    <row r="56" spans="2:19" ht="56.45" customHeight="1" x14ac:dyDescent="0.25">
      <c r="B56" s="863" t="s">
        <v>532</v>
      </c>
      <c r="C56" s="864"/>
      <c r="D56" s="863"/>
      <c r="E56" s="539"/>
      <c r="F56" s="520"/>
      <c r="G56" s="520"/>
      <c r="H56" s="520"/>
      <c r="I56" s="520"/>
      <c r="J56" s="520"/>
      <c r="K56" s="520"/>
      <c r="L56" s="521" t="s">
        <v>533</v>
      </c>
      <c r="M56" s="540"/>
      <c r="N56" s="260"/>
      <c r="O56" s="260"/>
      <c r="P56" s="458"/>
      <c r="Q56" s="525">
        <f>SUM(Q42:Q55)</f>
        <v>0</v>
      </c>
      <c r="R56" s="505">
        <f>SUM(R42:R55)</f>
        <v>0</v>
      </c>
    </row>
    <row r="57" spans="2:19" ht="4.3499999999999996" customHeight="1" x14ac:dyDescent="0.25">
      <c r="B57" s="4"/>
      <c r="C57" s="541"/>
      <c r="D57" s="541"/>
      <c r="E57" s="541"/>
      <c r="F57" s="542"/>
      <c r="G57" s="542"/>
      <c r="H57" s="542"/>
      <c r="I57" s="542"/>
      <c r="J57" s="542"/>
      <c r="K57" s="542"/>
      <c r="L57" s="543"/>
      <c r="M57" s="544"/>
      <c r="N57" s="5"/>
      <c r="O57" s="5"/>
      <c r="P57" s="544"/>
      <c r="Q57" s="545"/>
      <c r="R57" s="546"/>
      <c r="S57" s="547"/>
    </row>
    <row r="58" spans="2:19" ht="15" customHeight="1" x14ac:dyDescent="0.25">
      <c r="B58" s="713" t="str">
        <f>Plod.24!B83</f>
        <v>Verze 1 (15. 4. 2025); kontakty (CARC): www.carc.cz, Ing. Jan Klír, CSc. (603 520 684; jan.klir@carc.cz), Ing. Lada Kozlovská (733 375 632; lada.kozlovska@carc.cz)</v>
      </c>
      <c r="C58" s="713"/>
      <c r="D58" s="713"/>
      <c r="E58" s="548"/>
      <c r="F58" s="542"/>
      <c r="G58" s="542"/>
      <c r="H58" s="542"/>
      <c r="I58" s="542"/>
      <c r="J58" s="542"/>
      <c r="K58" s="542"/>
      <c r="L58" s="549" t="s">
        <v>534</v>
      </c>
      <c r="M58" s="550"/>
      <c r="N58" s="551"/>
      <c r="O58" s="552"/>
      <c r="P58" s="553">
        <f>IF(C$8=0,0,Q58/C$8)</f>
        <v>0</v>
      </c>
      <c r="Q58" s="554">
        <f>Q39+Q56</f>
        <v>0</v>
      </c>
      <c r="R58" s="555">
        <f>R39+R56</f>
        <v>0</v>
      </c>
      <c r="S58" s="556" t="s">
        <v>535</v>
      </c>
    </row>
    <row r="59" spans="2:19" ht="18.95" customHeight="1" x14ac:dyDescent="0.25">
      <c r="E59" s="548"/>
      <c r="F59" s="428"/>
      <c r="G59" s="428"/>
      <c r="H59" s="428"/>
      <c r="I59" s="428"/>
      <c r="J59" s="428"/>
      <c r="K59" s="428"/>
      <c r="L59" s="557" t="s">
        <v>536</v>
      </c>
      <c r="M59" s="558"/>
      <c r="N59" s="558"/>
      <c r="O59" s="559"/>
      <c r="P59" s="560">
        <f>IF(C$8=0,0,Q59/C$8)</f>
        <v>0</v>
      </c>
      <c r="Q59" s="561">
        <f>IF(C8=0,0,Q58-Q9)</f>
        <v>0</v>
      </c>
      <c r="R59" s="562">
        <f>IF(C8=0,0,R58-R20)</f>
        <v>0</v>
      </c>
      <c r="S59" s="556" t="s">
        <v>537</v>
      </c>
    </row>
    <row r="60" spans="2:19" ht="12" customHeight="1" x14ac:dyDescent="0.25">
      <c r="C60" s="5"/>
      <c r="D60" s="548"/>
      <c r="E60" s="548"/>
      <c r="F60" s="428"/>
      <c r="G60" s="428"/>
      <c r="H60" s="428"/>
      <c r="I60" s="428"/>
      <c r="J60" s="428"/>
      <c r="K60" s="428"/>
      <c r="L60" s="428"/>
      <c r="M60" s="563"/>
      <c r="N60" s="563"/>
      <c r="O60" s="563"/>
      <c r="P60" s="563"/>
      <c r="Q60" s="564"/>
      <c r="R60" s="564"/>
    </row>
    <row r="61" spans="2:19" ht="12.95" customHeight="1" x14ac:dyDescent="0.25">
      <c r="C61" s="5"/>
      <c r="D61" s="548"/>
      <c r="E61" s="548"/>
      <c r="F61" s="428"/>
      <c r="G61" s="428"/>
      <c r="H61" s="428"/>
      <c r="I61" s="428"/>
      <c r="J61" s="428"/>
      <c r="K61" s="428"/>
      <c r="L61" s="428"/>
      <c r="M61" s="5"/>
      <c r="N61" s="5"/>
      <c r="O61" s="5"/>
      <c r="P61" s="5"/>
    </row>
    <row r="62" spans="2:19" ht="11.25" customHeight="1" x14ac:dyDescent="0.25">
      <c r="S62" s="548"/>
    </row>
    <row r="64" spans="2:19" x14ac:dyDescent="0.25">
      <c r="C64" s="565"/>
      <c r="D64" s="565"/>
      <c r="E64" s="565"/>
      <c r="F64" s="565"/>
      <c r="G64" s="565"/>
      <c r="H64" s="565"/>
      <c r="I64" s="565"/>
      <c r="J64" s="565"/>
      <c r="K64" s="565"/>
      <c r="L64" s="565"/>
    </row>
  </sheetData>
  <sheetProtection algorithmName="SHA-512" hashValue="15FbbJSmTKrSrcUd4Ujw1iRc0pyiUZfHJdEWo9kZ8A669zn5SCDwy8xSwwzMJDPG/VQNYAkNQCdSwEKDIRuSIQ==" saltValue="argf6rFvywH/8O9Ypn3y+Q==" spinCount="100000" sheet="1" objects="1" scenarios="1" formatCells="0" formatColumns="0" formatRows="0"/>
  <mergeCells count="22">
    <mergeCell ref="M8:O8"/>
    <mergeCell ref="D9:D11"/>
    <mergeCell ref="M9:O9"/>
    <mergeCell ref="F10:G12"/>
    <mergeCell ref="H13:J19"/>
    <mergeCell ref="O13:O19"/>
    <mergeCell ref="B56:D56"/>
    <mergeCell ref="B58:D58"/>
    <mergeCell ref="P13:Q13"/>
    <mergeCell ref="F18:G18"/>
    <mergeCell ref="I20:J21"/>
    <mergeCell ref="F19:G19"/>
    <mergeCell ref="D23:D38"/>
    <mergeCell ref="F20:G20"/>
    <mergeCell ref="R4:R7"/>
    <mergeCell ref="P7:Q7"/>
    <mergeCell ref="B1:D1"/>
    <mergeCell ref="N1:O1"/>
    <mergeCell ref="C2:D2"/>
    <mergeCell ref="N2:O2"/>
    <mergeCell ref="N4:O4"/>
    <mergeCell ref="B6:C6"/>
  </mergeCells>
  <conditionalFormatting sqref="B20">
    <cfRule type="containsText" dxfId="49" priority="8" operator="containsText" text="rozsah">
      <formula>NOT(ISERROR(SEARCH("rozsah",B20)))</formula>
    </cfRule>
  </conditionalFormatting>
  <conditionalFormatting sqref="B39">
    <cfRule type="containsText" dxfId="48" priority="7" operator="containsText" text="rozsah">
      <formula>NOT(ISERROR(SEARCH("rozsah",B39)))</formula>
    </cfRule>
  </conditionalFormatting>
  <conditionalFormatting sqref="C4 I1 I4:K4 H5:L6">
    <cfRule type="containsText" dxfId="47" priority="41" operator="containsText" text="Nesplňuje">
      <formula>NOT(ISERROR(SEARCH("Nesplňuje",C1)))</formula>
    </cfRule>
  </conditionalFormatting>
  <conditionalFormatting sqref="C4">
    <cfRule type="containsText" dxfId="46" priority="34" operator="containsText" text="splněny">
      <formula>NOT(ISERROR(SEARCH("splněny",C4)))</formula>
    </cfRule>
    <cfRule type="containsText" dxfId="45" priority="33" operator="containsText" text="nesplněny">
      <formula>NOT(ISERROR(SEARCH("nesplněny",C4)))</formula>
    </cfRule>
    <cfRule type="cellIs" dxfId="44" priority="12" operator="equal">
      <formula>"splněna"</formula>
    </cfRule>
    <cfRule type="cellIs" dxfId="43" priority="13" operator="equal">
      <formula>"nesplněna"</formula>
    </cfRule>
  </conditionalFormatting>
  <conditionalFormatting sqref="C5 T6">
    <cfRule type="containsText" dxfId="42" priority="36" operator="containsText" text="Zlepšující">
      <formula>NOT(ISERROR(SEARCH("Zlepšující",C5)))</formula>
    </cfRule>
    <cfRule type="containsText" dxfId="41" priority="35" operator="containsText" text="Zlepšující">
      <formula>NOT(ISERROR(SEARCH("Zlepšující",C5)))</formula>
    </cfRule>
    <cfRule type="containsText" dxfId="40" priority="38" operator="containsText" text="Zlepšující">
      <formula>NOT(ISERROR(SEARCH("Zlepšující",C5)))</formula>
    </cfRule>
    <cfRule type="containsText" dxfId="39" priority="40" operator="containsText" text="Vyrovnaná">
      <formula>NOT(ISERROR(SEARCH("Vyrovnaná",C5)))</formula>
    </cfRule>
    <cfRule type="containsText" dxfId="38" priority="39" operator="containsText" text="Záporná">
      <formula>NOT(ISERROR(SEARCH("Záporná",C5)))</formula>
    </cfRule>
    <cfRule type="containsText" dxfId="37" priority="37" operator="containsText" text="Vyrovnaná">
      <formula>NOT(ISERROR(SEARCH("Vyrovnaná",C5)))</formula>
    </cfRule>
  </conditionalFormatting>
  <conditionalFormatting sqref="C10">
    <cfRule type="cellIs" dxfId="36" priority="17" operator="lessThan">
      <formula>0</formula>
    </cfRule>
  </conditionalFormatting>
  <conditionalFormatting sqref="C20">
    <cfRule type="containsText" dxfId="35" priority="6" operator="containsText" text="↓">
      <formula>NOT(ISERROR(SEARCH("↓",C20)))</formula>
    </cfRule>
  </conditionalFormatting>
  <conditionalFormatting sqref="C39">
    <cfRule type="containsText" dxfId="34" priority="5" operator="containsText" text="↓">
      <formula>NOT(ISERROR(SEARCH("↓",C39)))</formula>
    </cfRule>
  </conditionalFormatting>
  <conditionalFormatting sqref="C42">
    <cfRule type="cellIs" dxfId="33" priority="2" operator="greaterThan">
      <formula>"c40"</formula>
    </cfRule>
    <cfRule type="cellIs" dxfId="32" priority="1" operator="greaterThan">
      <formula>$C$42</formula>
    </cfRule>
  </conditionalFormatting>
  <conditionalFormatting sqref="C44">
    <cfRule type="cellIs" dxfId="31" priority="16" operator="greaterThan">
      <formula>"c40"</formula>
    </cfRule>
    <cfRule type="cellIs" dxfId="30" priority="15" operator="greaterThan">
      <formula>$C$42</formula>
    </cfRule>
  </conditionalFormatting>
  <conditionalFormatting sqref="D6:G6">
    <cfRule type="containsText" dxfId="29" priority="27" operator="containsText" text="Nesplňuje">
      <formula>NOT(ISERROR(SEARCH("Nesplňuje",D6)))</formula>
    </cfRule>
  </conditionalFormatting>
  <conditionalFormatting sqref="F4:F5">
    <cfRule type="containsText" dxfId="28" priority="29" operator="containsText" text="Nesplňuje">
      <formula>NOT(ISERROR(SEARCH("Nesplňuje",F4)))</formula>
    </cfRule>
    <cfRule type="containsText" dxfId="27" priority="30" operator="containsText" text="Splňuje">
      <formula>NOT(ISERROR(SEARCH("Splňuje",F4)))</formula>
    </cfRule>
    <cfRule type="containsText" dxfId="26" priority="31" operator="containsText" text="Nesplňuje">
      <formula>NOT(ISERROR(SEARCH("Nesplňuje",F4)))</formula>
    </cfRule>
  </conditionalFormatting>
  <conditionalFormatting sqref="F7">
    <cfRule type="containsText" dxfId="25" priority="20" operator="containsText" text="Splňuje">
      <formula>NOT(ISERROR(SEARCH("Splňuje",F7)))</formula>
    </cfRule>
    <cfRule type="containsText" dxfId="24" priority="19" operator="containsText" text="Nesplňuje">
      <formula>NOT(ISERROR(SEARCH("Nesplňuje",F7)))</formula>
    </cfRule>
  </conditionalFormatting>
  <conditionalFormatting sqref="F7:F8">
    <cfRule type="containsText" dxfId="23" priority="21" operator="containsText" text="Nesplňuje">
      <formula>NOT(ISERROR(SEARCH("Nesplňuje",F7)))</formula>
    </cfRule>
  </conditionalFormatting>
  <conditionalFormatting sqref="F8">
    <cfRule type="containsText" dxfId="22" priority="23" operator="containsText" text="Nesplňuje">
      <formula>NOT(ISERROR(SEARCH("Nesplňuje",F8)))</formula>
    </cfRule>
    <cfRule type="containsText" dxfId="21" priority="22" operator="containsText" text="Splňuje">
      <formula>NOT(ISERROR(SEARCH("Splňuje",F8)))</formula>
    </cfRule>
  </conditionalFormatting>
  <conditionalFormatting sqref="F3:G3">
    <cfRule type="containsText" dxfId="20" priority="3" operator="containsText" text="uživatele">
      <formula>NOT(ISERROR(SEARCH("uživatele",F3)))</formula>
    </cfRule>
    <cfRule type="containsText" dxfId="19" priority="4" operator="containsText" text="prosíme vyplnit IČO">
      <formula>NOT(ISERROR(SEARCH("prosíme vyplnit IČO",F3)))</formula>
    </cfRule>
  </conditionalFormatting>
  <conditionalFormatting sqref="G6">
    <cfRule type="containsText" dxfId="18" priority="25" operator="containsText" text="Nesplňuje">
      <formula>NOT(ISERROR(SEARCH("Nesplňuje",G6)))</formula>
    </cfRule>
    <cfRule type="containsText" dxfId="17" priority="26" operator="containsText" text="Splňuje">
      <formula>NOT(ISERROR(SEARCH("Splňuje",G6)))</formula>
    </cfRule>
  </conditionalFormatting>
  <conditionalFormatting sqref="G7:G8">
    <cfRule type="cellIs" dxfId="16" priority="24" operator="lessThan">
      <formula>0</formula>
    </cfRule>
  </conditionalFormatting>
  <conditionalFormatting sqref="G9">
    <cfRule type="containsText" dxfId="15" priority="9" operator="containsText" text="neposkytne">
      <formula>NOT(ISERROR(SEARCH("neposkytne",G9)))</formula>
    </cfRule>
    <cfRule type="containsText" dxfId="14" priority="10" operator="containsText" text="splněna">
      <formula>NOT(ISERROR(SEARCH("splněna",G9)))</formula>
    </cfRule>
    <cfRule type="containsText" dxfId="13" priority="18" operator="containsText" text="sankc">
      <formula>NOT(ISERROR(SEARCH("sankc",G9)))</formula>
    </cfRule>
    <cfRule type="containsText" dxfId="12" priority="14" operator="containsText" text="podmínka splněna">
      <formula>NOT(ISERROR(SEARCH("podmínka splněna",G9)))</formula>
    </cfRule>
    <cfRule type="containsText" dxfId="11" priority="11" operator="containsText" text="snížení">
      <formula>NOT(ISERROR(SEARCH("snížení",G9)))</formula>
    </cfRule>
  </conditionalFormatting>
  <conditionalFormatting sqref="I1 C4 I4:K4 H5:L6 D6:F6">
    <cfRule type="containsText" dxfId="10" priority="42" operator="containsText" text="Splňuje">
      <formula>NOT(ISERROR(SEARCH("Splňuje",C1)))</formula>
    </cfRule>
    <cfRule type="containsText" dxfId="9" priority="43" operator="containsText" text="Nesplňuje">
      <formula>NOT(ISERROR(SEARCH("Nesplňuje",C1)))</formula>
    </cfRule>
  </conditionalFormatting>
  <conditionalFormatting sqref="P4">
    <cfRule type="cellIs" dxfId="8" priority="32" operator="lessThan">
      <formula>0</formula>
    </cfRule>
  </conditionalFormatting>
  <conditionalFormatting sqref="P59">
    <cfRule type="cellIs" dxfId="7" priority="28" operator="lessThan">
      <formula>0</formula>
    </cfRule>
  </conditionalFormatting>
  <pageMargins left="0.31496062992125984" right="0.31496062992125984" top="0.59055118110236227" bottom="0.59055118110236227" header="0.31496062992125984" footer="0.31496062992125984"/>
  <pageSetup paperSize="9" scale="66" fitToWidth="0" orientation="landscape" horizontalDpi="4294967292" r:id="rId1"/>
  <ignoredErrors>
    <ignoredError sqref="C43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2C54-0900-496B-B081-E4E52712972A}">
  <sheetPr>
    <tabColor theme="6" tint="0.39997558519241921"/>
    <pageSetUpPr fitToPage="1"/>
  </sheetPr>
  <dimension ref="B1:O101"/>
  <sheetViews>
    <sheetView showGridLines="0" zoomScale="90" zoomScaleNormal="90" zoomScaleSheetLayoutView="110" workbookViewId="0">
      <selection activeCell="B2" sqref="B2:K2"/>
    </sheetView>
  </sheetViews>
  <sheetFormatPr defaultRowHeight="15" x14ac:dyDescent="0.25"/>
  <cols>
    <col min="1" max="1" width="1.5703125" customWidth="1"/>
    <col min="2" max="2" width="17.7109375" customWidth="1"/>
    <col min="3" max="4" width="10.28515625" customWidth="1"/>
    <col min="5" max="5" width="15.42578125" customWidth="1"/>
    <col min="6" max="6" width="10.7109375" customWidth="1"/>
    <col min="7" max="7" width="14.7109375" customWidth="1"/>
    <col min="8" max="8" width="17.85546875" customWidth="1"/>
    <col min="9" max="9" width="19.140625" customWidth="1"/>
    <col min="10" max="10" width="14.85546875" customWidth="1"/>
    <col min="11" max="11" width="14.42578125" customWidth="1"/>
    <col min="13" max="13" width="11.85546875" customWidth="1"/>
    <col min="14" max="16" width="17" customWidth="1"/>
  </cols>
  <sheetData>
    <row r="1" spans="2:11" ht="21.75" customHeight="1" x14ac:dyDescent="0.25">
      <c r="B1" s="882" t="s">
        <v>577</v>
      </c>
      <c r="C1" s="882"/>
      <c r="D1" s="882"/>
      <c r="E1" s="882"/>
      <c r="F1" s="882"/>
      <c r="G1" s="882"/>
      <c r="H1" s="882"/>
      <c r="I1" s="882"/>
      <c r="J1" s="882"/>
      <c r="K1" s="882"/>
    </row>
    <row r="2" spans="2:11" ht="13.7" customHeight="1" x14ac:dyDescent="0.25">
      <c r="B2" s="885" t="s">
        <v>614</v>
      </c>
      <c r="C2" s="885"/>
      <c r="D2" s="885"/>
      <c r="E2" s="885"/>
      <c r="F2" s="885"/>
      <c r="G2" s="885"/>
      <c r="H2" s="885"/>
      <c r="I2" s="885"/>
      <c r="J2" s="885"/>
      <c r="K2" s="885"/>
    </row>
    <row r="3" spans="2:11" ht="21.6" customHeight="1" x14ac:dyDescent="0.25">
      <c r="B3" s="883" t="s">
        <v>393</v>
      </c>
      <c r="C3" s="883"/>
      <c r="D3" s="883"/>
      <c r="E3" s="883"/>
      <c r="F3" s="883"/>
      <c r="G3" s="883"/>
      <c r="H3" s="883"/>
      <c r="I3" s="883"/>
      <c r="J3" s="883"/>
      <c r="K3" s="883"/>
    </row>
    <row r="4" spans="2:11" ht="31.5" customHeight="1" x14ac:dyDescent="0.25">
      <c r="B4" s="336" t="s">
        <v>394</v>
      </c>
      <c r="C4" s="833" t="str">
        <f>IF(Mod.OH1!C2=0,"",Mod.OH1!C2)</f>
        <v/>
      </c>
      <c r="D4" s="834"/>
      <c r="E4" s="834"/>
      <c r="F4" s="834"/>
      <c r="G4" s="834"/>
      <c r="H4" s="834"/>
      <c r="I4" s="835"/>
      <c r="J4" s="325" t="s">
        <v>466</v>
      </c>
      <c r="K4" s="591" t="str">
        <f>IF(Mod.OH1!G2=0,"",Mod.OH1!G2)</f>
        <v/>
      </c>
    </row>
    <row r="5" spans="2:11" ht="15.95" customHeight="1" x14ac:dyDescent="0.25">
      <c r="B5" s="336" t="s">
        <v>74</v>
      </c>
      <c r="C5" s="833" t="s">
        <v>210</v>
      </c>
      <c r="D5" s="834"/>
      <c r="E5" s="834"/>
      <c r="F5" s="834"/>
      <c r="G5" s="834"/>
      <c r="H5" s="834"/>
      <c r="I5" s="834"/>
      <c r="J5" s="834"/>
      <c r="K5" s="835"/>
    </row>
    <row r="6" spans="2:11" ht="8.1" customHeight="1" x14ac:dyDescent="0.25"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2:11" ht="15.95" customHeight="1" x14ac:dyDescent="0.25">
      <c r="B7" s="883" t="s">
        <v>395</v>
      </c>
      <c r="C7" s="883"/>
      <c r="D7" s="883"/>
      <c r="E7" s="883"/>
      <c r="F7" s="883"/>
      <c r="G7" s="883"/>
      <c r="H7" s="883"/>
      <c r="I7" s="883"/>
      <c r="J7" s="883"/>
      <c r="K7" s="883"/>
    </row>
    <row r="8" spans="2:11" ht="15.95" customHeight="1" x14ac:dyDescent="0.25">
      <c r="B8" s="830" t="s">
        <v>538</v>
      </c>
      <c r="C8" s="831"/>
      <c r="D8" s="831"/>
      <c r="E8" s="831"/>
      <c r="F8" s="831"/>
      <c r="G8" s="831"/>
      <c r="H8" s="832"/>
      <c r="I8" s="325" t="s">
        <v>396</v>
      </c>
      <c r="J8" s="884" t="s">
        <v>397</v>
      </c>
      <c r="K8" s="884"/>
    </row>
    <row r="9" spans="2:11" ht="15.95" customHeight="1" x14ac:dyDescent="0.25">
      <c r="B9" s="833" t="s">
        <v>398</v>
      </c>
      <c r="C9" s="834"/>
      <c r="D9" s="834"/>
      <c r="E9" s="834"/>
      <c r="F9" s="834"/>
      <c r="G9" s="834"/>
      <c r="H9" s="835"/>
      <c r="I9" s="612" t="str">
        <f>IF(Mod.OH1!C8=0,"",Mod.OH1!C8)</f>
        <v/>
      </c>
      <c r="J9" s="884"/>
      <c r="K9" s="884"/>
    </row>
    <row r="10" spans="2:11" ht="15.95" customHeight="1" x14ac:dyDescent="0.25">
      <c r="B10" s="833" t="s">
        <v>399</v>
      </c>
      <c r="C10" s="834"/>
      <c r="D10" s="834"/>
      <c r="E10" s="834"/>
      <c r="F10" s="834"/>
      <c r="G10" s="834"/>
      <c r="H10" s="835"/>
      <c r="I10" s="613" t="str">
        <f>IF(Mod.OH1!C9=0,"",Mod.OH1!C9)</f>
        <v/>
      </c>
      <c r="J10" s="886">
        <v>0.3</v>
      </c>
      <c r="K10" s="887"/>
    </row>
    <row r="11" spans="2:11" ht="15.95" customHeight="1" x14ac:dyDescent="0.25">
      <c r="B11" s="833" t="s">
        <v>400</v>
      </c>
      <c r="C11" s="834"/>
      <c r="D11" s="834"/>
      <c r="E11" s="834"/>
      <c r="F11" s="834"/>
      <c r="G11" s="834"/>
      <c r="H11" s="835"/>
      <c r="I11" s="613" t="str">
        <f>IF((Mod.OH1!C9+Mod.OH1!C11=0),I9,Mod.OH1!C8-Mod.OH1!C9-Mod.OH1!C11)</f>
        <v/>
      </c>
      <c r="J11" s="886">
        <v>0.35</v>
      </c>
      <c r="K11" s="887"/>
    </row>
    <row r="12" spans="2:11" ht="15.95" customHeight="1" x14ac:dyDescent="0.25">
      <c r="B12" s="833" t="s">
        <v>401</v>
      </c>
      <c r="C12" s="834"/>
      <c r="D12" s="834"/>
      <c r="E12" s="834"/>
      <c r="F12" s="834"/>
      <c r="G12" s="834"/>
      <c r="H12" s="835"/>
      <c r="I12" s="613" t="str">
        <f>IF(Mod.OH1!C11=0,"",Mod.OH1!C11)</f>
        <v/>
      </c>
      <c r="J12" s="886">
        <v>0.3</v>
      </c>
      <c r="K12" s="887"/>
    </row>
    <row r="13" spans="2:11" ht="15.95" customHeight="1" x14ac:dyDescent="0.25">
      <c r="B13" s="833" t="s">
        <v>402</v>
      </c>
      <c r="C13" s="834"/>
      <c r="D13" s="834"/>
      <c r="E13" s="834"/>
      <c r="F13" s="834"/>
      <c r="G13" s="834"/>
      <c r="H13" s="834"/>
      <c r="I13" s="835"/>
      <c r="J13" s="886" t="str">
        <f>Mod.OH1!P8</f>
        <v/>
      </c>
      <c r="K13" s="887"/>
    </row>
    <row r="14" spans="2:11" ht="15.95" customHeight="1" x14ac:dyDescent="0.25">
      <c r="B14" s="830" t="s">
        <v>403</v>
      </c>
      <c r="C14" s="831"/>
      <c r="D14" s="831"/>
      <c r="E14" s="831"/>
      <c r="F14" s="831"/>
      <c r="G14" s="831"/>
      <c r="H14" s="831"/>
      <c r="I14" s="832"/>
      <c r="J14" s="888" t="str">
        <f>IF(I9="","",J13*I9)</f>
        <v/>
      </c>
      <c r="K14" s="889"/>
    </row>
    <row r="15" spans="2:11" ht="9" customHeight="1" x14ac:dyDescent="0.25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2:11" ht="15.95" customHeight="1" x14ac:dyDescent="0.25">
      <c r="B16" s="883" t="s">
        <v>404</v>
      </c>
      <c r="C16" s="883"/>
      <c r="D16" s="883"/>
      <c r="E16" s="883"/>
      <c r="F16" s="883"/>
      <c r="G16" s="883"/>
      <c r="H16" s="883"/>
      <c r="I16" s="883"/>
      <c r="J16" s="883"/>
      <c r="K16" s="883"/>
    </row>
    <row r="17" spans="2:11" ht="32.1" customHeight="1" x14ac:dyDescent="0.25">
      <c r="B17" s="830" t="s">
        <v>539</v>
      </c>
      <c r="C17" s="831"/>
      <c r="D17" s="831"/>
      <c r="E17" s="831"/>
      <c r="F17" s="831"/>
      <c r="G17" s="832"/>
      <c r="H17" s="325" t="s">
        <v>405</v>
      </c>
      <c r="I17" s="325" t="s">
        <v>406</v>
      </c>
      <c r="J17" s="884" t="s">
        <v>407</v>
      </c>
      <c r="K17" s="884"/>
    </row>
    <row r="18" spans="2:11" ht="32.1" customHeight="1" x14ac:dyDescent="0.25">
      <c r="B18" s="833" t="s">
        <v>540</v>
      </c>
      <c r="C18" s="834"/>
      <c r="D18" s="834"/>
      <c r="E18" s="834"/>
      <c r="F18" s="834"/>
      <c r="G18" s="835"/>
      <c r="H18" s="614">
        <v>0.45</v>
      </c>
      <c r="I18" s="613" t="str">
        <f>IF(Mod.OH1!C14+Mod.OH1!C16=0,"",Mod.OH1!C14+Mod.OH1!C16)</f>
        <v/>
      </c>
      <c r="J18" s="890" t="str">
        <f>IF(I18="","",H18*I18)</f>
        <v/>
      </c>
      <c r="K18" s="890"/>
    </row>
    <row r="19" spans="2:11" ht="17.25" customHeight="1" x14ac:dyDescent="0.25">
      <c r="B19" s="833" t="s">
        <v>541</v>
      </c>
      <c r="C19" s="834"/>
      <c r="D19" s="834"/>
      <c r="E19" s="834"/>
      <c r="F19" s="834"/>
      <c r="G19" s="835"/>
      <c r="H19" s="614">
        <v>0.25</v>
      </c>
      <c r="I19" s="613" t="str">
        <f>IF(Mod.OH1!C15+Mod.OH1!C17=0,"",Mod.OH1!C15+Mod.OH1!C17)</f>
        <v/>
      </c>
      <c r="J19" s="890" t="str">
        <f>IF(I19="","",H19*I19)</f>
        <v/>
      </c>
      <c r="K19" s="890"/>
    </row>
    <row r="20" spans="2:11" ht="17.25" customHeight="1" x14ac:dyDescent="0.25">
      <c r="B20" s="833" t="s">
        <v>408</v>
      </c>
      <c r="C20" s="834"/>
      <c r="D20" s="834"/>
      <c r="E20" s="834"/>
      <c r="F20" s="834"/>
      <c r="G20" s="835"/>
      <c r="H20" s="614">
        <v>-0.9</v>
      </c>
      <c r="I20" s="613" t="str">
        <f>IF(Mod.OH1!C18=0,"",Mod.OH1!C18)</f>
        <v/>
      </c>
      <c r="J20" s="890" t="str">
        <f>IF(I20="","",H20*I20)</f>
        <v/>
      </c>
      <c r="K20" s="890"/>
    </row>
    <row r="21" spans="2:11" ht="17.25" customHeight="1" x14ac:dyDescent="0.25">
      <c r="B21" s="833" t="s">
        <v>409</v>
      </c>
      <c r="C21" s="834"/>
      <c r="D21" s="834"/>
      <c r="E21" s="834"/>
      <c r="F21" s="834"/>
      <c r="G21" s="835"/>
      <c r="H21" s="614">
        <v>-0.7</v>
      </c>
      <c r="I21" s="613" t="str">
        <f>IF(Mod.OH1!C19=0,"",Mod.OH1!C19)</f>
        <v/>
      </c>
      <c r="J21" s="890" t="str">
        <f>IF(I21="","",H21*I21)</f>
        <v/>
      </c>
      <c r="K21" s="890"/>
    </row>
    <row r="22" spans="2:11" ht="15.95" customHeight="1" x14ac:dyDescent="0.25">
      <c r="B22" s="830" t="s">
        <v>410</v>
      </c>
      <c r="C22" s="831"/>
      <c r="D22" s="831"/>
      <c r="E22" s="831"/>
      <c r="F22" s="831"/>
      <c r="G22" s="831"/>
      <c r="H22" s="831"/>
      <c r="I22" s="832"/>
      <c r="J22" s="891" t="str">
        <f>IF(I9="","",SUM(J18:K21))</f>
        <v/>
      </c>
      <c r="K22" s="891"/>
    </row>
    <row r="23" spans="2:11" ht="15.95" customHeight="1" x14ac:dyDescent="0.25">
      <c r="B23" s="833" t="s">
        <v>411</v>
      </c>
      <c r="C23" s="834"/>
      <c r="D23" s="834"/>
      <c r="E23" s="834"/>
      <c r="F23" s="834"/>
      <c r="G23" s="834"/>
      <c r="H23" s="834"/>
      <c r="I23" s="835"/>
      <c r="J23" s="890" t="str">
        <f>J14</f>
        <v/>
      </c>
      <c r="K23" s="890"/>
    </row>
    <row r="24" spans="2:11" ht="15.95" customHeight="1" x14ac:dyDescent="0.25">
      <c r="B24" s="830" t="s">
        <v>412</v>
      </c>
      <c r="C24" s="831"/>
      <c r="D24" s="831"/>
      <c r="E24" s="831"/>
      <c r="F24" s="831"/>
      <c r="G24" s="831"/>
      <c r="H24" s="831"/>
      <c r="I24" s="832"/>
      <c r="J24" s="891" t="str">
        <f>IF(I9="","",J22+J23)</f>
        <v/>
      </c>
      <c r="K24" s="891"/>
    </row>
    <row r="25" spans="2:11" ht="6" customHeight="1" x14ac:dyDescent="0.25">
      <c r="B25" s="252"/>
      <c r="C25" s="252"/>
      <c r="D25" s="252"/>
      <c r="E25" s="252"/>
      <c r="F25" s="252"/>
      <c r="G25" s="252"/>
      <c r="H25" s="252"/>
      <c r="I25" s="252"/>
      <c r="J25" s="252"/>
      <c r="K25" s="252"/>
    </row>
    <row r="26" spans="2:11" ht="15.95" customHeight="1" x14ac:dyDescent="0.25">
      <c r="B26" s="883" t="s">
        <v>413</v>
      </c>
      <c r="C26" s="883"/>
      <c r="D26" s="883"/>
      <c r="E26" s="883"/>
      <c r="F26" s="883"/>
      <c r="G26" s="883"/>
      <c r="H26" s="883"/>
      <c r="I26" s="883"/>
      <c r="J26" s="883"/>
      <c r="K26" s="883"/>
    </row>
    <row r="27" spans="2:11" ht="32.1" customHeight="1" x14ac:dyDescent="0.25">
      <c r="B27" s="830" t="s">
        <v>542</v>
      </c>
      <c r="C27" s="831"/>
      <c r="D27" s="831"/>
      <c r="E27" s="831"/>
      <c r="F27" s="831"/>
      <c r="G27" s="832"/>
      <c r="H27" s="325" t="s">
        <v>414</v>
      </c>
      <c r="I27" s="325" t="s">
        <v>405</v>
      </c>
      <c r="J27" s="325" t="s">
        <v>415</v>
      </c>
      <c r="K27" s="325" t="s">
        <v>416</v>
      </c>
    </row>
    <row r="28" spans="2:11" ht="15.95" customHeight="1" x14ac:dyDescent="0.25">
      <c r="B28" s="833" t="s">
        <v>417</v>
      </c>
      <c r="C28" s="834"/>
      <c r="D28" s="834"/>
      <c r="E28" s="834"/>
      <c r="F28" s="834"/>
      <c r="G28" s="835"/>
      <c r="H28" s="617">
        <v>30</v>
      </c>
      <c r="I28" s="613">
        <v>1</v>
      </c>
      <c r="J28" s="618" t="str">
        <f>IF(Mod.OH1!C23=0,"",Mod.OH1!C23)</f>
        <v/>
      </c>
      <c r="K28" s="615" t="str">
        <f>IF(J28="","",J28/H28*I28)</f>
        <v/>
      </c>
    </row>
    <row r="29" spans="2:11" ht="15.95" customHeight="1" x14ac:dyDescent="0.25">
      <c r="B29" s="833" t="s">
        <v>418</v>
      </c>
      <c r="C29" s="834"/>
      <c r="D29" s="834"/>
      <c r="E29" s="834"/>
      <c r="F29" s="834"/>
      <c r="G29" s="835"/>
      <c r="H29" s="617">
        <v>25</v>
      </c>
      <c r="I29" s="613">
        <v>0.75</v>
      </c>
      <c r="J29" s="618" t="str">
        <f>IF(Mod.OH1!C24=0,"",Mod.OH1!C24)</f>
        <v/>
      </c>
      <c r="K29" s="615" t="str">
        <f t="shared" ref="K29:K43" si="0">IF(J29="","",J29/H29*I29)</f>
        <v/>
      </c>
    </row>
    <row r="30" spans="2:11" ht="15.95" customHeight="1" x14ac:dyDescent="0.25">
      <c r="B30" s="833" t="s">
        <v>419</v>
      </c>
      <c r="C30" s="834"/>
      <c r="D30" s="834"/>
      <c r="E30" s="834"/>
      <c r="F30" s="834"/>
      <c r="G30" s="835"/>
      <c r="H30" s="617">
        <v>15</v>
      </c>
      <c r="I30" s="613">
        <v>1</v>
      </c>
      <c r="J30" s="618" t="str">
        <f>IF(Mod.OH1!C25=0,"",Mod.OH1!C25)</f>
        <v/>
      </c>
      <c r="K30" s="615" t="str">
        <f t="shared" si="0"/>
        <v/>
      </c>
    </row>
    <row r="31" spans="2:11" ht="15.95" customHeight="1" x14ac:dyDescent="0.25">
      <c r="B31" s="833" t="s">
        <v>420</v>
      </c>
      <c r="C31" s="834"/>
      <c r="D31" s="834"/>
      <c r="E31" s="834"/>
      <c r="F31" s="834"/>
      <c r="G31" s="835"/>
      <c r="H31" s="617">
        <v>15</v>
      </c>
      <c r="I31" s="613">
        <v>0.65</v>
      </c>
      <c r="J31" s="618" t="str">
        <f>IF(Mod.OH1!C26=0,"",Mod.OH1!C26)</f>
        <v/>
      </c>
      <c r="K31" s="615" t="str">
        <f t="shared" si="0"/>
        <v/>
      </c>
    </row>
    <row r="32" spans="2:11" ht="15.95" customHeight="1" x14ac:dyDescent="0.25">
      <c r="B32" s="833" t="s">
        <v>421</v>
      </c>
      <c r="C32" s="834"/>
      <c r="D32" s="834"/>
      <c r="E32" s="834"/>
      <c r="F32" s="834"/>
      <c r="G32" s="835"/>
      <c r="H32" s="617">
        <v>5</v>
      </c>
      <c r="I32" s="613">
        <v>0.4</v>
      </c>
      <c r="J32" s="618" t="str">
        <f>IF(Mod.OH1!C27=0,"",Mod.OH1!C27)</f>
        <v/>
      </c>
      <c r="K32" s="615" t="str">
        <f t="shared" si="0"/>
        <v/>
      </c>
    </row>
    <row r="33" spans="2:11" ht="15.95" customHeight="1" x14ac:dyDescent="0.25">
      <c r="B33" s="833" t="s">
        <v>422</v>
      </c>
      <c r="C33" s="834"/>
      <c r="D33" s="834"/>
      <c r="E33" s="834"/>
      <c r="F33" s="834"/>
      <c r="G33" s="835"/>
      <c r="H33" s="617">
        <v>20</v>
      </c>
      <c r="I33" s="613">
        <v>0.18</v>
      </c>
      <c r="J33" s="618" t="str">
        <f>IF(Mod.OH1!C28=0,"",Mod.OH1!C28)</f>
        <v/>
      </c>
      <c r="K33" s="615" t="str">
        <f t="shared" si="0"/>
        <v/>
      </c>
    </row>
    <row r="34" spans="2:11" ht="15.95" customHeight="1" x14ac:dyDescent="0.25">
      <c r="B34" s="833" t="s">
        <v>95</v>
      </c>
      <c r="C34" s="834"/>
      <c r="D34" s="834"/>
      <c r="E34" s="834"/>
      <c r="F34" s="834"/>
      <c r="G34" s="835"/>
      <c r="H34" s="617">
        <v>20</v>
      </c>
      <c r="I34" s="613">
        <v>0.15</v>
      </c>
      <c r="J34" s="618" t="str">
        <f>IF(Mod.OH1!C29=0,"",Mod.OH1!C29)</f>
        <v/>
      </c>
      <c r="K34" s="615" t="str">
        <f t="shared" si="0"/>
        <v/>
      </c>
    </row>
    <row r="35" spans="2:11" ht="15.95" customHeight="1" x14ac:dyDescent="0.25">
      <c r="B35" s="833" t="s">
        <v>423</v>
      </c>
      <c r="C35" s="834"/>
      <c r="D35" s="834"/>
      <c r="E35" s="834"/>
      <c r="F35" s="834"/>
      <c r="G35" s="835"/>
      <c r="H35" s="617">
        <v>20</v>
      </c>
      <c r="I35" s="613">
        <v>0.1</v>
      </c>
      <c r="J35" s="618" t="str">
        <f>IF(Mod.OH1!C30=0,"",Mod.OH1!C30)</f>
        <v/>
      </c>
      <c r="K35" s="615" t="str">
        <f t="shared" si="0"/>
        <v/>
      </c>
    </row>
    <row r="36" spans="2:11" ht="15.95" customHeight="1" x14ac:dyDescent="0.25">
      <c r="B36" s="833" t="s">
        <v>97</v>
      </c>
      <c r="C36" s="834"/>
      <c r="D36" s="834"/>
      <c r="E36" s="834"/>
      <c r="F36" s="834"/>
      <c r="G36" s="835"/>
      <c r="H36" s="617">
        <v>20</v>
      </c>
      <c r="I36" s="613">
        <v>7.0000000000000007E-2</v>
      </c>
      <c r="J36" s="618" t="str">
        <f>IF(Mod.OH1!C31=0,"",Mod.OH1!C31)</f>
        <v/>
      </c>
      <c r="K36" s="615" t="str">
        <f t="shared" si="0"/>
        <v/>
      </c>
    </row>
    <row r="37" spans="2:11" ht="15.95" customHeight="1" x14ac:dyDescent="0.25">
      <c r="B37" s="833" t="s">
        <v>424</v>
      </c>
      <c r="C37" s="834"/>
      <c r="D37" s="834"/>
      <c r="E37" s="834"/>
      <c r="F37" s="834"/>
      <c r="G37" s="835"/>
      <c r="H37" s="617">
        <v>20</v>
      </c>
      <c r="I37" s="613">
        <v>0.15</v>
      </c>
      <c r="J37" s="618" t="str">
        <f>IF(Mod.OH1!C32=0,"",Mod.OH1!C32)</f>
        <v/>
      </c>
      <c r="K37" s="615" t="str">
        <f t="shared" si="0"/>
        <v/>
      </c>
    </row>
    <row r="38" spans="2:11" ht="15.95" customHeight="1" x14ac:dyDescent="0.25">
      <c r="B38" s="833" t="s">
        <v>99</v>
      </c>
      <c r="C38" s="834"/>
      <c r="D38" s="834"/>
      <c r="E38" s="834"/>
      <c r="F38" s="834"/>
      <c r="G38" s="835"/>
      <c r="H38" s="617">
        <v>20</v>
      </c>
      <c r="I38" s="613">
        <v>0.1</v>
      </c>
      <c r="J38" s="618" t="str">
        <f>IF(Mod.OH1!C33=0,"",Mod.OH1!C33)</f>
        <v/>
      </c>
      <c r="K38" s="615" t="str">
        <f t="shared" si="0"/>
        <v/>
      </c>
    </row>
    <row r="39" spans="2:11" ht="15.95" customHeight="1" x14ac:dyDescent="0.25">
      <c r="B39" s="833" t="s">
        <v>425</v>
      </c>
      <c r="C39" s="834"/>
      <c r="D39" s="834"/>
      <c r="E39" s="834"/>
      <c r="F39" s="834"/>
      <c r="G39" s="835"/>
      <c r="H39" s="617">
        <v>5</v>
      </c>
      <c r="I39" s="613">
        <v>0.15</v>
      </c>
      <c r="J39" s="618" t="str">
        <f>IF(Mod.OH1!C34=0,"",Mod.OH1!C34)</f>
        <v/>
      </c>
      <c r="K39" s="615" t="str">
        <f t="shared" si="0"/>
        <v/>
      </c>
    </row>
    <row r="40" spans="2:11" ht="15.95" customHeight="1" x14ac:dyDescent="0.25">
      <c r="B40" s="833" t="s">
        <v>426</v>
      </c>
      <c r="C40" s="834"/>
      <c r="D40" s="834"/>
      <c r="E40" s="834"/>
      <c r="F40" s="834"/>
      <c r="G40" s="835"/>
      <c r="H40" s="617">
        <v>20</v>
      </c>
      <c r="I40" s="613">
        <v>0.1</v>
      </c>
      <c r="J40" s="618" t="str">
        <f>IF(Mod.OH1!C35=0,"",Mod.OH1!C35)</f>
        <v/>
      </c>
      <c r="K40" s="615" t="str">
        <f t="shared" si="0"/>
        <v/>
      </c>
    </row>
    <row r="41" spans="2:11" ht="15.95" customHeight="1" x14ac:dyDescent="0.25">
      <c r="B41" s="833" t="s">
        <v>427</v>
      </c>
      <c r="C41" s="834"/>
      <c r="D41" s="834"/>
      <c r="E41" s="834"/>
      <c r="F41" s="834"/>
      <c r="G41" s="835"/>
      <c r="H41" s="617">
        <v>5</v>
      </c>
      <c r="I41" s="613">
        <v>0.3</v>
      </c>
      <c r="J41" s="618" t="str">
        <f>IF(Mod.OH1!C36=0,"",Mod.OH1!C36)</f>
        <v/>
      </c>
      <c r="K41" s="615" t="str">
        <f t="shared" si="0"/>
        <v/>
      </c>
    </row>
    <row r="42" spans="2:11" ht="15.95" customHeight="1" x14ac:dyDescent="0.25">
      <c r="B42" s="833" t="s">
        <v>7</v>
      </c>
      <c r="C42" s="834"/>
      <c r="D42" s="834"/>
      <c r="E42" s="834"/>
      <c r="F42" s="834"/>
      <c r="G42" s="835"/>
      <c r="H42" s="617">
        <v>5</v>
      </c>
      <c r="I42" s="613">
        <v>0.17</v>
      </c>
      <c r="J42" s="618" t="str">
        <f>IF(Mod.OH1!C37=0,"",Mod.OH1!C37)</f>
        <v/>
      </c>
      <c r="K42" s="615" t="str">
        <f t="shared" si="0"/>
        <v/>
      </c>
    </row>
    <row r="43" spans="2:11" ht="15.95" customHeight="1" x14ac:dyDescent="0.25">
      <c r="B43" s="833" t="s">
        <v>428</v>
      </c>
      <c r="C43" s="834"/>
      <c r="D43" s="834"/>
      <c r="E43" s="834"/>
      <c r="F43" s="834"/>
      <c r="G43" s="835"/>
      <c r="H43" s="617">
        <v>5</v>
      </c>
      <c r="I43" s="613">
        <v>0.13</v>
      </c>
      <c r="J43" s="618" t="str">
        <f>IF(Mod.OH1!C38=0,"",Mod.OH1!C38)</f>
        <v/>
      </c>
      <c r="K43" s="615" t="str">
        <f t="shared" si="0"/>
        <v/>
      </c>
    </row>
    <row r="44" spans="2:11" ht="15.95" customHeight="1" x14ac:dyDescent="0.25">
      <c r="B44" s="830" t="s">
        <v>179</v>
      </c>
      <c r="C44" s="831"/>
      <c r="D44" s="831"/>
      <c r="E44" s="831"/>
      <c r="F44" s="831"/>
      <c r="G44" s="831"/>
      <c r="H44" s="831"/>
      <c r="I44" s="831"/>
      <c r="J44" s="832"/>
      <c r="K44" s="616" t="str">
        <f>IF(I9="","",SUM(K28:K43))</f>
        <v/>
      </c>
    </row>
    <row r="45" spans="2:11" ht="10.7" customHeight="1" x14ac:dyDescent="0.25"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spans="2:11" ht="15.95" customHeight="1" x14ac:dyDescent="0.25">
      <c r="B46" s="883" t="s">
        <v>429</v>
      </c>
      <c r="C46" s="883"/>
      <c r="D46" s="883"/>
      <c r="E46" s="883"/>
      <c r="F46" s="883"/>
      <c r="G46" s="883"/>
      <c r="H46" s="883"/>
      <c r="I46" s="883"/>
      <c r="J46" s="883"/>
      <c r="K46" s="883"/>
    </row>
    <row r="47" spans="2:11" ht="31.35" customHeight="1" x14ac:dyDescent="0.25">
      <c r="B47" s="814" t="s">
        <v>543</v>
      </c>
      <c r="C47" s="814"/>
      <c r="D47" s="814"/>
      <c r="E47" s="814"/>
      <c r="F47" s="814"/>
      <c r="G47" s="814"/>
      <c r="H47" s="814"/>
      <c r="I47" s="325" t="s">
        <v>405</v>
      </c>
      <c r="J47" s="325" t="s">
        <v>406</v>
      </c>
      <c r="K47" s="325" t="s">
        <v>430</v>
      </c>
    </row>
    <row r="48" spans="2:11" ht="44.45" customHeight="1" x14ac:dyDescent="0.25">
      <c r="B48" s="813" t="s">
        <v>431</v>
      </c>
      <c r="C48" s="813"/>
      <c r="D48" s="813"/>
      <c r="E48" s="813"/>
      <c r="F48" s="813"/>
      <c r="G48" s="813"/>
      <c r="H48" s="813"/>
      <c r="I48" s="613">
        <v>0.5</v>
      </c>
      <c r="J48" s="615" t="str">
        <f>IF(Mod.OH1!C42+Mod.OH1!C43=0,"",Mod.OH1!C42+Mod.OH1!C43)</f>
        <v/>
      </c>
      <c r="K48" s="615" t="str">
        <f>IF(J48="","",I48*J48)</f>
        <v/>
      </c>
    </row>
    <row r="49" spans="2:14" ht="27.6" customHeight="1" x14ac:dyDescent="0.25">
      <c r="B49" s="813" t="s">
        <v>432</v>
      </c>
      <c r="C49" s="813"/>
      <c r="D49" s="813"/>
      <c r="E49" s="813"/>
      <c r="F49" s="813"/>
      <c r="G49" s="813"/>
      <c r="H49" s="813"/>
      <c r="I49" s="613">
        <v>0.1</v>
      </c>
      <c r="J49" s="615" t="str">
        <f>IF(Mod.OH1!C44=0,"",Mod.OH1!C44)</f>
        <v/>
      </c>
      <c r="K49" s="615" t="str">
        <f t="shared" ref="K49:K58" si="1">IF(J49="","",I49*J49)</f>
        <v/>
      </c>
    </row>
    <row r="50" spans="2:14" ht="15.95" customHeight="1" x14ac:dyDescent="0.25">
      <c r="B50" s="813" t="s">
        <v>520</v>
      </c>
      <c r="C50" s="813"/>
      <c r="D50" s="813"/>
      <c r="E50" s="813"/>
      <c r="F50" s="813"/>
      <c r="G50" s="813"/>
      <c r="H50" s="813"/>
      <c r="I50" s="613">
        <v>0.25</v>
      </c>
      <c r="J50" s="615" t="str">
        <f>IF(Mod.OH1!C45+Mod.OH1!C46=0,"",Mod.OH1!C45+Mod.OH1!C46)</f>
        <v/>
      </c>
      <c r="K50" s="615" t="str">
        <f t="shared" si="1"/>
        <v/>
      </c>
    </row>
    <row r="51" spans="2:14" ht="15.95" customHeight="1" x14ac:dyDescent="0.25">
      <c r="B51" s="813" t="s">
        <v>433</v>
      </c>
      <c r="C51" s="813"/>
      <c r="D51" s="813"/>
      <c r="E51" s="813"/>
      <c r="F51" s="813"/>
      <c r="G51" s="813"/>
      <c r="H51" s="813"/>
      <c r="I51" s="613">
        <v>0.2</v>
      </c>
      <c r="J51" s="615" t="str">
        <f>IF(Mod.OH1!C47=0,"",Mod.OH1!C47)</f>
        <v/>
      </c>
      <c r="K51" s="615" t="str">
        <f t="shared" si="1"/>
        <v/>
      </c>
    </row>
    <row r="52" spans="2:14" ht="15.95" customHeight="1" x14ac:dyDescent="0.25">
      <c r="B52" s="813" t="s">
        <v>434</v>
      </c>
      <c r="C52" s="813"/>
      <c r="D52" s="813"/>
      <c r="E52" s="813"/>
      <c r="F52" s="813"/>
      <c r="G52" s="813"/>
      <c r="H52" s="813"/>
      <c r="I52" s="613">
        <v>0.2</v>
      </c>
      <c r="J52" s="615" t="str">
        <f>IF(Mod.OH1!C48=0,"",Mod.OH1!C48)</f>
        <v/>
      </c>
      <c r="K52" s="615" t="str">
        <f t="shared" si="1"/>
        <v/>
      </c>
    </row>
    <row r="53" spans="2:14" ht="15.95" customHeight="1" x14ac:dyDescent="0.25">
      <c r="B53" s="813" t="s">
        <v>435</v>
      </c>
      <c r="C53" s="813"/>
      <c r="D53" s="813"/>
      <c r="E53" s="813"/>
      <c r="F53" s="813"/>
      <c r="G53" s="813"/>
      <c r="H53" s="813"/>
      <c r="I53" s="613">
        <v>0.35</v>
      </c>
      <c r="J53" s="615" t="str">
        <f>IF(Mod.OH1!C49=0,"",Mod.OH1!C49)</f>
        <v/>
      </c>
      <c r="K53" s="615" t="str">
        <f t="shared" si="1"/>
        <v/>
      </c>
    </row>
    <row r="54" spans="2:14" ht="15.95" customHeight="1" x14ac:dyDescent="0.25">
      <c r="B54" s="813" t="s">
        <v>436</v>
      </c>
      <c r="C54" s="813"/>
      <c r="D54" s="813"/>
      <c r="E54" s="813"/>
      <c r="F54" s="813"/>
      <c r="G54" s="813"/>
      <c r="H54" s="813"/>
      <c r="I54" s="613">
        <v>0.2</v>
      </c>
      <c r="J54" s="615" t="str">
        <f>IF(Mod.OH1!C50=0,"",Mod.OH1!C50)</f>
        <v/>
      </c>
      <c r="K54" s="615" t="str">
        <f t="shared" si="1"/>
        <v/>
      </c>
    </row>
    <row r="55" spans="2:14" ht="15.95" customHeight="1" x14ac:dyDescent="0.25">
      <c r="B55" s="813" t="s">
        <v>437</v>
      </c>
      <c r="C55" s="813"/>
      <c r="D55" s="813"/>
      <c r="E55" s="813"/>
      <c r="F55" s="813"/>
      <c r="G55" s="813"/>
      <c r="H55" s="813"/>
      <c r="I55" s="613">
        <v>0.45</v>
      </c>
      <c r="J55" s="615" t="str">
        <f>IF(Mod.OH1!C52=0,"",Mod.OH1!C52)</f>
        <v/>
      </c>
      <c r="K55" s="615" t="str">
        <f t="shared" si="1"/>
        <v/>
      </c>
    </row>
    <row r="56" spans="2:14" ht="15.95" customHeight="1" x14ac:dyDescent="0.25">
      <c r="B56" s="813" t="s">
        <v>438</v>
      </c>
      <c r="C56" s="813"/>
      <c r="D56" s="813"/>
      <c r="E56" s="813"/>
      <c r="F56" s="813"/>
      <c r="G56" s="813"/>
      <c r="H56" s="813"/>
      <c r="I56" s="613">
        <v>0.1</v>
      </c>
      <c r="J56" s="615" t="str">
        <f>IF(Mod.OH1!C51+Mod.OH1!C53=0,"",Mod.OH1!C51+Mod.OH1!C53)</f>
        <v/>
      </c>
      <c r="K56" s="615" t="str">
        <f t="shared" si="1"/>
        <v/>
      </c>
    </row>
    <row r="57" spans="2:14" ht="15.95" customHeight="1" x14ac:dyDescent="0.25">
      <c r="B57" s="813" t="s">
        <v>439</v>
      </c>
      <c r="C57" s="813"/>
      <c r="D57" s="813"/>
      <c r="E57" s="813"/>
      <c r="F57" s="813"/>
      <c r="G57" s="813"/>
      <c r="H57" s="813"/>
      <c r="I57" s="613">
        <v>0.2</v>
      </c>
      <c r="J57" s="615" t="str">
        <f>IF(Mod.OH1!C54=0,"",Mod.OH1!C54)</f>
        <v/>
      </c>
      <c r="K57" s="615" t="str">
        <f t="shared" si="1"/>
        <v/>
      </c>
    </row>
    <row r="58" spans="2:14" ht="15.95" customHeight="1" x14ac:dyDescent="0.25">
      <c r="B58" s="813" t="s">
        <v>440</v>
      </c>
      <c r="C58" s="813"/>
      <c r="D58" s="813"/>
      <c r="E58" s="813"/>
      <c r="F58" s="813"/>
      <c r="G58" s="813"/>
      <c r="H58" s="813"/>
      <c r="I58" s="613">
        <v>0.2</v>
      </c>
      <c r="J58" s="615" t="str">
        <f>IF(Mod.OH1!C55=0,"",Mod.OH1!C55)</f>
        <v/>
      </c>
      <c r="K58" s="615" t="str">
        <f t="shared" si="1"/>
        <v/>
      </c>
    </row>
    <row r="59" spans="2:14" ht="15.95" customHeight="1" x14ac:dyDescent="0.25">
      <c r="B59" s="830" t="s">
        <v>179</v>
      </c>
      <c r="C59" s="831"/>
      <c r="D59" s="831"/>
      <c r="E59" s="831"/>
      <c r="F59" s="831"/>
      <c r="G59" s="831"/>
      <c r="H59" s="831"/>
      <c r="I59" s="831"/>
      <c r="J59" s="832"/>
      <c r="K59" s="616" t="str">
        <f>IF(I9="","",SUM(K48:K58))</f>
        <v/>
      </c>
    </row>
    <row r="60" spans="2:14" ht="10.35" customHeight="1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</row>
    <row r="61" spans="2:14" ht="15.95" customHeight="1" x14ac:dyDescent="0.25">
      <c r="B61" s="883" t="s">
        <v>441</v>
      </c>
      <c r="C61" s="883"/>
      <c r="D61" s="883"/>
      <c r="E61" s="883"/>
      <c r="F61" s="883"/>
      <c r="G61" s="883"/>
      <c r="H61" s="883"/>
      <c r="I61" s="883"/>
      <c r="J61" s="883"/>
      <c r="K61" s="883"/>
    </row>
    <row r="62" spans="2:14" ht="42" customHeight="1" x14ac:dyDescent="0.25">
      <c r="B62" s="814" t="s">
        <v>76</v>
      </c>
      <c r="C62" s="814"/>
      <c r="D62" s="814"/>
      <c r="E62" s="814"/>
      <c r="F62" s="814"/>
      <c r="G62" s="814"/>
      <c r="H62" s="814"/>
      <c r="I62" s="814"/>
      <c r="J62" s="325" t="s">
        <v>430</v>
      </c>
      <c r="K62" s="340" t="s">
        <v>442</v>
      </c>
    </row>
    <row r="63" spans="2:14" ht="15.95" customHeight="1" x14ac:dyDescent="0.25">
      <c r="B63" s="813" t="s">
        <v>443</v>
      </c>
      <c r="C63" s="813"/>
      <c r="D63" s="813"/>
      <c r="E63" s="813"/>
      <c r="F63" s="813"/>
      <c r="G63" s="813"/>
      <c r="H63" s="813"/>
      <c r="I63" s="813"/>
      <c r="J63" s="615" t="str">
        <f>IF(I9="","",K44+K59)</f>
        <v/>
      </c>
      <c r="K63" s="325"/>
      <c r="M63" s="318"/>
      <c r="N63" s="319"/>
    </row>
    <row r="64" spans="2:14" ht="15.95" customHeight="1" x14ac:dyDescent="0.25">
      <c r="B64" s="813" t="s">
        <v>444</v>
      </c>
      <c r="C64" s="813"/>
      <c r="D64" s="813"/>
      <c r="E64" s="813"/>
      <c r="F64" s="813"/>
      <c r="G64" s="813"/>
      <c r="H64" s="813"/>
      <c r="I64" s="813"/>
      <c r="J64" s="615" t="str">
        <f>J24</f>
        <v/>
      </c>
      <c r="K64" s="325"/>
      <c r="M64" s="318"/>
      <c r="N64" s="319"/>
    </row>
    <row r="65" spans="2:11" ht="28.7" customHeight="1" x14ac:dyDescent="0.25">
      <c r="B65" s="814" t="s">
        <v>445</v>
      </c>
      <c r="C65" s="814"/>
      <c r="D65" s="814"/>
      <c r="E65" s="814"/>
      <c r="F65" s="814"/>
      <c r="G65" s="814"/>
      <c r="H65" s="814"/>
      <c r="I65" s="814"/>
      <c r="J65" s="616" t="str">
        <f>IF(I9="","",J63-J64)</f>
        <v/>
      </c>
      <c r="K65" s="619" t="str">
        <f>IF(I9="","",IF(J66="podmínka splněna","",Mod.OH1!F8*-1))</f>
        <v/>
      </c>
    </row>
    <row r="66" spans="2:11" ht="29.25" customHeight="1" x14ac:dyDescent="0.25">
      <c r="J66" s="566" t="str">
        <f>Mod.OH1!G9</f>
        <v/>
      </c>
    </row>
    <row r="67" spans="2:11" ht="9" customHeight="1" x14ac:dyDescent="0.25">
      <c r="B67" s="894"/>
      <c r="C67" s="894"/>
      <c r="D67" s="894"/>
      <c r="E67" s="894"/>
      <c r="F67" s="894"/>
      <c r="G67" s="894"/>
      <c r="H67" s="894"/>
      <c r="I67" s="894"/>
      <c r="J67" s="894"/>
      <c r="K67" s="894"/>
    </row>
    <row r="68" spans="2:11" x14ac:dyDescent="0.25">
      <c r="B68" s="1" t="s">
        <v>681</v>
      </c>
    </row>
    <row r="69" spans="2:11" x14ac:dyDescent="0.25">
      <c r="B69" s="903" t="s">
        <v>446</v>
      </c>
      <c r="C69" s="892" t="s">
        <v>447</v>
      </c>
      <c r="D69" s="892" t="s">
        <v>448</v>
      </c>
      <c r="E69" s="892" t="s">
        <v>449</v>
      </c>
      <c r="F69" s="892" t="s">
        <v>450</v>
      </c>
      <c r="G69" s="899" t="s">
        <v>451</v>
      </c>
      <c r="H69" s="900"/>
      <c r="I69" s="901"/>
      <c r="J69" s="892" t="s">
        <v>452</v>
      </c>
      <c r="K69" s="892" t="s">
        <v>453</v>
      </c>
    </row>
    <row r="70" spans="2:11" ht="30" x14ac:dyDescent="0.25">
      <c r="B70" s="904"/>
      <c r="C70" s="893"/>
      <c r="D70" s="893"/>
      <c r="E70" s="893"/>
      <c r="F70" s="893"/>
      <c r="G70" s="340" t="s">
        <v>454</v>
      </c>
      <c r="H70" s="340" t="s">
        <v>455</v>
      </c>
      <c r="I70" s="340" t="s">
        <v>456</v>
      </c>
      <c r="J70" s="893"/>
      <c r="K70" s="893"/>
    </row>
    <row r="71" spans="2:11" x14ac:dyDescent="0.25">
      <c r="B71" s="668"/>
      <c r="C71" s="669"/>
      <c r="D71" s="670"/>
      <c r="E71" s="671"/>
      <c r="F71" s="670"/>
      <c r="G71" s="670"/>
      <c r="H71" s="670"/>
      <c r="I71" s="670"/>
      <c r="J71" s="672"/>
      <c r="K71" s="672"/>
    </row>
    <row r="72" spans="2:11" x14ac:dyDescent="0.25">
      <c r="B72" s="668"/>
      <c r="C72" s="669"/>
      <c r="D72" s="670"/>
      <c r="E72" s="671"/>
      <c r="F72" s="670"/>
      <c r="G72" s="670"/>
      <c r="H72" s="670"/>
      <c r="I72" s="670"/>
      <c r="J72" s="672"/>
      <c r="K72" s="672"/>
    </row>
    <row r="73" spans="2:11" x14ac:dyDescent="0.25">
      <c r="B73" s="668"/>
      <c r="C73" s="669"/>
      <c r="D73" s="670"/>
      <c r="E73" s="671"/>
      <c r="F73" s="670"/>
      <c r="G73" s="670"/>
      <c r="H73" s="670"/>
      <c r="I73" s="670"/>
      <c r="J73" s="672"/>
      <c r="K73" s="672"/>
    </row>
    <row r="74" spans="2:11" x14ac:dyDescent="0.25">
      <c r="B74" s="668"/>
      <c r="C74" s="669"/>
      <c r="D74" s="670"/>
      <c r="E74" s="671"/>
      <c r="F74" s="670"/>
      <c r="G74" s="670"/>
      <c r="H74" s="670"/>
      <c r="I74" s="670"/>
      <c r="J74" s="672"/>
      <c r="K74" s="672"/>
    </row>
    <row r="75" spans="2:11" x14ac:dyDescent="0.25">
      <c r="B75" s="668"/>
      <c r="C75" s="669"/>
      <c r="D75" s="670"/>
      <c r="E75" s="671"/>
      <c r="F75" s="670"/>
      <c r="G75" s="670"/>
      <c r="H75" s="670"/>
      <c r="I75" s="670"/>
      <c r="J75" s="672"/>
      <c r="K75" s="672"/>
    </row>
    <row r="76" spans="2:11" x14ac:dyDescent="0.25">
      <c r="B76" s="668"/>
      <c r="C76" s="669"/>
      <c r="D76" s="670"/>
      <c r="E76" s="671"/>
      <c r="F76" s="670"/>
      <c r="G76" s="670"/>
      <c r="H76" s="670"/>
      <c r="I76" s="670"/>
      <c r="J76" s="672"/>
      <c r="K76" s="672"/>
    </row>
    <row r="77" spans="2:11" x14ac:dyDescent="0.25">
      <c r="B77" s="668"/>
      <c r="C77" s="669"/>
      <c r="D77" s="670"/>
      <c r="E77" s="671"/>
      <c r="F77" s="670"/>
      <c r="G77" s="670"/>
      <c r="H77" s="670"/>
      <c r="I77" s="670"/>
      <c r="J77" s="672"/>
      <c r="K77" s="672"/>
    </row>
    <row r="78" spans="2:11" x14ac:dyDescent="0.25">
      <c r="B78" s="668"/>
      <c r="C78" s="669"/>
      <c r="D78" s="670"/>
      <c r="E78" s="671"/>
      <c r="F78" s="670"/>
      <c r="G78" s="670"/>
      <c r="H78" s="670"/>
      <c r="I78" s="670"/>
      <c r="J78" s="672"/>
      <c r="K78" s="672"/>
    </row>
    <row r="79" spans="2:11" x14ac:dyDescent="0.25">
      <c r="B79" s="668"/>
      <c r="C79" s="669"/>
      <c r="D79" s="670"/>
      <c r="E79" s="671"/>
      <c r="F79" s="670"/>
      <c r="G79" s="670"/>
      <c r="H79" s="670"/>
      <c r="I79" s="670"/>
      <c r="J79" s="672"/>
      <c r="K79" s="672"/>
    </row>
    <row r="80" spans="2:11" x14ac:dyDescent="0.25">
      <c r="B80" s="668"/>
      <c r="C80" s="669"/>
      <c r="D80" s="670"/>
      <c r="E80" s="671"/>
      <c r="F80" s="670"/>
      <c r="G80" s="670"/>
      <c r="H80" s="670"/>
      <c r="I80" s="670"/>
      <c r="J80" s="672"/>
      <c r="K80" s="672"/>
    </row>
    <row r="81" spans="2:15" x14ac:dyDescent="0.25">
      <c r="B81" s="668"/>
      <c r="C81" s="669"/>
      <c r="D81" s="670"/>
      <c r="E81" s="671"/>
      <c r="F81" s="670"/>
      <c r="G81" s="670"/>
      <c r="H81" s="670"/>
      <c r="I81" s="670"/>
      <c r="J81" s="672"/>
      <c r="K81" s="672"/>
    </row>
    <row r="82" spans="2:15" x14ac:dyDescent="0.25">
      <c r="B82" s="668"/>
      <c r="C82" s="669"/>
      <c r="D82" s="670"/>
      <c r="E82" s="671"/>
      <c r="F82" s="670"/>
      <c r="G82" s="670"/>
      <c r="H82" s="670"/>
      <c r="I82" s="670"/>
      <c r="J82" s="672"/>
      <c r="K82" s="672"/>
    </row>
    <row r="83" spans="2:15" x14ac:dyDescent="0.25">
      <c r="B83" s="668"/>
      <c r="C83" s="669"/>
      <c r="D83" s="670"/>
      <c r="E83" s="671"/>
      <c r="F83" s="670"/>
      <c r="G83" s="670"/>
      <c r="H83" s="670"/>
      <c r="I83" s="670"/>
      <c r="J83" s="672"/>
      <c r="K83" s="672"/>
    </row>
    <row r="84" spans="2:15" x14ac:dyDescent="0.25">
      <c r="B84" s="668"/>
      <c r="C84" s="669"/>
      <c r="D84" s="670"/>
      <c r="E84" s="671"/>
      <c r="F84" s="670"/>
      <c r="G84" s="670"/>
      <c r="H84" s="670"/>
      <c r="I84" s="670"/>
      <c r="J84" s="672"/>
      <c r="K84" s="672"/>
    </row>
    <row r="85" spans="2:15" x14ac:dyDescent="0.25">
      <c r="B85" s="668"/>
      <c r="C85" s="669"/>
      <c r="D85" s="670"/>
      <c r="E85" s="671"/>
      <c r="F85" s="670"/>
      <c r="G85" s="670"/>
      <c r="H85" s="670"/>
      <c r="I85" s="670"/>
      <c r="J85" s="672"/>
      <c r="K85" s="672"/>
    </row>
    <row r="86" spans="2:15" x14ac:dyDescent="0.25">
      <c r="B86" s="668"/>
      <c r="C86" s="669"/>
      <c r="D86" s="670"/>
      <c r="E86" s="671"/>
      <c r="F86" s="670"/>
      <c r="G86" s="670"/>
      <c r="H86" s="670"/>
      <c r="I86" s="670"/>
      <c r="J86" s="672"/>
      <c r="K86" s="672"/>
    </row>
    <row r="87" spans="2:15" x14ac:dyDescent="0.25">
      <c r="B87" s="668"/>
      <c r="C87" s="669"/>
      <c r="D87" s="670"/>
      <c r="E87" s="671"/>
      <c r="F87" s="670"/>
      <c r="G87" s="670"/>
      <c r="H87" s="670"/>
      <c r="I87" s="670"/>
      <c r="J87" s="672"/>
      <c r="K87" s="672"/>
    </row>
    <row r="88" spans="2:15" x14ac:dyDescent="0.25">
      <c r="B88" s="668"/>
      <c r="C88" s="669"/>
      <c r="D88" s="670"/>
      <c r="E88" s="671"/>
      <c r="F88" s="670"/>
      <c r="G88" s="670"/>
      <c r="H88" s="670"/>
      <c r="I88" s="670"/>
      <c r="J88" s="672"/>
      <c r="K88" s="672"/>
    </row>
    <row r="89" spans="2:15" x14ac:dyDescent="0.25">
      <c r="B89" s="668"/>
      <c r="C89" s="669"/>
      <c r="D89" s="670"/>
      <c r="E89" s="671"/>
      <c r="F89" s="670"/>
      <c r="G89" s="670"/>
      <c r="H89" s="670"/>
      <c r="I89" s="670"/>
      <c r="J89" s="672"/>
      <c r="K89" s="672"/>
    </row>
    <row r="90" spans="2:15" x14ac:dyDescent="0.25">
      <c r="B90" s="668"/>
      <c r="C90" s="669"/>
      <c r="D90" s="670"/>
      <c r="E90" s="671"/>
      <c r="F90" s="670"/>
      <c r="G90" s="670"/>
      <c r="H90" s="670"/>
      <c r="I90" s="670"/>
      <c r="J90" s="672"/>
      <c r="K90" s="672"/>
    </row>
    <row r="91" spans="2:15" x14ac:dyDescent="0.25">
      <c r="B91" s="668"/>
      <c r="C91" s="669"/>
      <c r="D91" s="670"/>
      <c r="E91" s="671"/>
      <c r="F91" s="670"/>
      <c r="G91" s="670"/>
      <c r="H91" s="670"/>
      <c r="I91" s="670"/>
      <c r="J91" s="672"/>
      <c r="K91" s="672"/>
    </row>
    <row r="92" spans="2:15" x14ac:dyDescent="0.25">
      <c r="B92" s="668"/>
      <c r="C92" s="669"/>
      <c r="D92" s="670"/>
      <c r="E92" s="671"/>
      <c r="F92" s="670"/>
      <c r="G92" s="670"/>
      <c r="H92" s="670"/>
      <c r="I92" s="670"/>
      <c r="J92" s="672"/>
      <c r="K92" s="672"/>
    </row>
    <row r="93" spans="2:15" x14ac:dyDescent="0.25">
      <c r="B93" s="673" t="s">
        <v>179</v>
      </c>
      <c r="C93" s="674"/>
      <c r="D93" s="674"/>
      <c r="E93" s="674"/>
      <c r="F93" s="620">
        <f>SUM(F71:F92)</f>
        <v>0</v>
      </c>
      <c r="G93" s="620">
        <f>SUM(G71:G92)</f>
        <v>0</v>
      </c>
      <c r="H93" s="620">
        <f>SUM(H71:H92)</f>
        <v>0</v>
      </c>
      <c r="I93" s="620">
        <f>SUM(I71:I92)</f>
        <v>0</v>
      </c>
      <c r="N93" s="251"/>
      <c r="O93" s="251"/>
    </row>
    <row r="94" spans="2:15" x14ac:dyDescent="0.25">
      <c r="B94" s="1"/>
      <c r="C94" s="1"/>
      <c r="D94" s="1"/>
      <c r="E94" s="1"/>
      <c r="F94" s="1"/>
      <c r="G94" s="219"/>
      <c r="H94" s="219"/>
      <c r="I94" s="219"/>
      <c r="J94" s="253"/>
      <c r="K94" s="253"/>
      <c r="L94" s="253"/>
      <c r="M94" s="253"/>
      <c r="N94" s="251"/>
      <c r="O94" s="251"/>
    </row>
    <row r="95" spans="2:15" x14ac:dyDescent="0.25">
      <c r="B95" s="2" t="s">
        <v>610</v>
      </c>
      <c r="C95" s="2"/>
      <c r="D95" s="2"/>
      <c r="E95" s="2"/>
      <c r="F95" s="2"/>
      <c r="G95" s="567"/>
      <c r="H95" s="567"/>
      <c r="I95" s="567"/>
      <c r="J95" s="254"/>
      <c r="K95" s="254"/>
      <c r="L95" s="254"/>
      <c r="M95" s="254"/>
      <c r="N95" s="255"/>
      <c r="O95" s="255"/>
    </row>
    <row r="96" spans="2:15" ht="30" x14ac:dyDescent="0.25">
      <c r="B96" s="621" t="s">
        <v>457</v>
      </c>
      <c r="C96" s="622"/>
      <c r="D96" s="622"/>
      <c r="E96" s="622"/>
      <c r="F96" s="623" t="s">
        <v>458</v>
      </c>
      <c r="G96" s="902" t="s">
        <v>459</v>
      </c>
      <c r="H96" s="902"/>
      <c r="I96" s="902"/>
      <c r="N96" s="255"/>
      <c r="O96" s="255"/>
    </row>
    <row r="97" spans="2:15" x14ac:dyDescent="0.25">
      <c r="B97" s="624" t="s">
        <v>460</v>
      </c>
      <c r="C97" s="625"/>
      <c r="D97" s="625"/>
      <c r="E97" s="625"/>
      <c r="F97" s="626">
        <f>F93</f>
        <v>0</v>
      </c>
      <c r="G97" s="897">
        <f>G93+H93+I93</f>
        <v>0</v>
      </c>
      <c r="H97" s="897"/>
      <c r="I97" s="897"/>
      <c r="N97" s="255"/>
      <c r="O97" s="255"/>
    </row>
    <row r="98" spans="2:15" x14ac:dyDescent="0.25">
      <c r="B98" s="624" t="s">
        <v>611</v>
      </c>
      <c r="C98" s="625"/>
      <c r="D98" s="625"/>
      <c r="E98" s="625"/>
      <c r="F98" s="626">
        <f>Mod.OH1!C54</f>
        <v>0</v>
      </c>
      <c r="G98" s="897">
        <f>Mod.OH1!C55</f>
        <v>0</v>
      </c>
      <c r="H98" s="897"/>
      <c r="I98" s="897"/>
      <c r="N98" s="120"/>
      <c r="O98" s="120"/>
    </row>
    <row r="99" spans="2:15" x14ac:dyDescent="0.25">
      <c r="B99" s="627" t="s">
        <v>461</v>
      </c>
      <c r="C99" s="628"/>
      <c r="D99" s="628"/>
      <c r="E99" s="628"/>
      <c r="F99" s="629">
        <f>F97-F98</f>
        <v>0</v>
      </c>
      <c r="G99" s="898">
        <f>G97-G98</f>
        <v>0</v>
      </c>
      <c r="H99" s="898"/>
      <c r="I99" s="898"/>
      <c r="N99" s="256"/>
      <c r="O99" s="2"/>
    </row>
    <row r="100" spans="2:15" x14ac:dyDescent="0.25">
      <c r="B100" s="896" t="str">
        <f>IF(F99&lt;0,"nesoulad výměry technologií s údaji v 1. listu",IF(F99=0,"","nesoulad výměry technologií s údaji v 1. listu"))</f>
        <v/>
      </c>
      <c r="C100" s="896"/>
      <c r="D100" s="896"/>
      <c r="E100" s="896"/>
      <c r="F100" s="896"/>
      <c r="G100" s="895" t="str">
        <f>IF(G99&lt;0,"nesoulad výměry technologií s údaji v 1. listu",IF(G99=0,"","nesoulad výměry technologií s údaji v 1. listu"))</f>
        <v/>
      </c>
      <c r="H100" s="895"/>
      <c r="I100" s="895"/>
      <c r="J100" s="568"/>
    </row>
    <row r="101" spans="2:15" x14ac:dyDescent="0.25">
      <c r="B101" s="713" t="str">
        <f>Plod.24!B83</f>
        <v>Verze 1 (15. 4. 2025); kontakty (CARC): www.carc.cz, Ing. Jan Klír, CSc. (603 520 684; jan.klir@carc.cz), Ing. Lada Kozlovská (733 375 632; lada.kozlovska@carc.cz)</v>
      </c>
      <c r="C101" s="713"/>
      <c r="D101" s="713"/>
      <c r="E101" s="713"/>
      <c r="F101" s="713"/>
      <c r="G101" s="713"/>
      <c r="H101" s="713"/>
      <c r="I101" s="713"/>
      <c r="J101" s="713"/>
      <c r="K101" s="713"/>
    </row>
  </sheetData>
  <sheetProtection algorithmName="SHA-512" hashValue="U8BD65DdvfdHiz+lN8N9c59gJNPO1iVwe6yzbX+zwF+FSSuHlTX4iPtiOslEka0U4HNf0rRudXEcgzE364dwRw==" saltValue="TgtP1zZLlF4FIhiWG6sKnw==" spinCount="100000" sheet="1" objects="1" scenarios="1" formatCells="0" formatColumns="0" formatRows="0"/>
  <mergeCells count="90">
    <mergeCell ref="B101:K101"/>
    <mergeCell ref="G100:I100"/>
    <mergeCell ref="C4:I4"/>
    <mergeCell ref="C5:K5"/>
    <mergeCell ref="B100:F100"/>
    <mergeCell ref="G97:I97"/>
    <mergeCell ref="G98:I98"/>
    <mergeCell ref="G99:I99"/>
    <mergeCell ref="G69:I69"/>
    <mergeCell ref="J69:J70"/>
    <mergeCell ref="K69:K70"/>
    <mergeCell ref="G96:I96"/>
    <mergeCell ref="B69:B70"/>
    <mergeCell ref="C69:C70"/>
    <mergeCell ref="D69:D70"/>
    <mergeCell ref="E69:E70"/>
    <mergeCell ref="F69:F70"/>
    <mergeCell ref="B67:K67"/>
    <mergeCell ref="B55:H55"/>
    <mergeCell ref="B56:H56"/>
    <mergeCell ref="B57:H57"/>
    <mergeCell ref="B58:H58"/>
    <mergeCell ref="B59:J59"/>
    <mergeCell ref="B61:K61"/>
    <mergeCell ref="B62:I62"/>
    <mergeCell ref="B63:I63"/>
    <mergeCell ref="B64:I64"/>
    <mergeCell ref="B65:I65"/>
    <mergeCell ref="B54:H54"/>
    <mergeCell ref="B42:G42"/>
    <mergeCell ref="B43:G43"/>
    <mergeCell ref="B44:J44"/>
    <mergeCell ref="B46:K46"/>
    <mergeCell ref="B47:H47"/>
    <mergeCell ref="B48:H48"/>
    <mergeCell ref="B49:H49"/>
    <mergeCell ref="B50:H50"/>
    <mergeCell ref="B51:H51"/>
    <mergeCell ref="B52:H52"/>
    <mergeCell ref="B53:H53"/>
    <mergeCell ref="B41:G41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29:G29"/>
    <mergeCell ref="B21:G21"/>
    <mergeCell ref="J21:K21"/>
    <mergeCell ref="B22:I22"/>
    <mergeCell ref="J22:K22"/>
    <mergeCell ref="B23:I23"/>
    <mergeCell ref="J23:K23"/>
    <mergeCell ref="B24:I24"/>
    <mergeCell ref="J24:K24"/>
    <mergeCell ref="B26:K26"/>
    <mergeCell ref="B27:G27"/>
    <mergeCell ref="B28:G28"/>
    <mergeCell ref="B18:G18"/>
    <mergeCell ref="J18:K18"/>
    <mergeCell ref="B19:G19"/>
    <mergeCell ref="J19:K19"/>
    <mergeCell ref="B20:G20"/>
    <mergeCell ref="J20:K20"/>
    <mergeCell ref="B17:G17"/>
    <mergeCell ref="J17:K17"/>
    <mergeCell ref="B10:H10"/>
    <mergeCell ref="J10:K10"/>
    <mergeCell ref="B11:H11"/>
    <mergeCell ref="J11:K11"/>
    <mergeCell ref="B12:H12"/>
    <mergeCell ref="J12:K12"/>
    <mergeCell ref="B13:I13"/>
    <mergeCell ref="J13:K13"/>
    <mergeCell ref="B14:I14"/>
    <mergeCell ref="J14:K14"/>
    <mergeCell ref="B16:K16"/>
    <mergeCell ref="B1:K1"/>
    <mergeCell ref="B3:K3"/>
    <mergeCell ref="B7:K7"/>
    <mergeCell ref="B8:H8"/>
    <mergeCell ref="J8:K9"/>
    <mergeCell ref="B9:H9"/>
    <mergeCell ref="B2:K2"/>
  </mergeCells>
  <conditionalFormatting sqref="B100 G100:J100">
    <cfRule type="containsText" dxfId="6" priority="2" operator="containsText" text="nesoulad">
      <formula>NOT(ISERROR(SEARCH("nesoulad",B100)))</formula>
    </cfRule>
  </conditionalFormatting>
  <conditionalFormatting sqref="G100:I100">
    <cfRule type="containsText" dxfId="5" priority="1" operator="containsText" text="nesoula">
      <formula>NOT(ISERROR(SEARCH("nesoula",G100)))</formula>
    </cfRule>
  </conditionalFormatting>
  <conditionalFormatting sqref="J66">
    <cfRule type="containsText" dxfId="4" priority="3" operator="containsText" text="neposkytne">
      <formula>NOT(ISERROR(SEARCH("neposkytne",J66)))</formula>
    </cfRule>
    <cfRule type="containsText" dxfId="3" priority="4" operator="containsText" text="snížení">
      <formula>NOT(ISERROR(SEARCH("snížení",J66)))</formula>
    </cfRule>
    <cfRule type="containsText" dxfId="2" priority="5" operator="containsText" text="nesplněna">
      <formula>NOT(ISERROR(SEARCH("nesplněna",J66)))</formula>
    </cfRule>
    <cfRule type="containsText" dxfId="1" priority="7" operator="containsText" text="požadavek splněn">
      <formula>NOT(ISERROR(SEARCH("požadavek splněn",J66)))</formula>
    </cfRule>
  </conditionalFormatting>
  <conditionalFormatting sqref="J66:K66">
    <cfRule type="containsText" dxfId="0" priority="6" operator="containsText" text="splněna">
      <formula>NOT(ISERROR(SEARCH("splněna",J66)))</formula>
    </cfRule>
  </conditionalFormatting>
  <pageMargins left="0.62992125984251968" right="0.62992125984251968" top="0.74803149606299213" bottom="0.74803149606299213" header="0.31496062992125984" footer="0.31496062992125984"/>
  <pageSetup paperSize="9" scale="92" fitToHeight="0" orientation="landscape" horizontalDpi="4294967292" r:id="rId1"/>
  <rowBreaks count="3" manualBreakCount="3">
    <brk id="25" max="16383" man="1"/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Plod.24</vt:lpstr>
      <vt:lpstr>Plod.25</vt:lpstr>
      <vt:lpstr>Ztr.25</vt:lpstr>
      <vt:lpstr>M.24-25</vt:lpstr>
      <vt:lpstr>M.24-25ev</vt:lpstr>
      <vt:lpstr>O.24-25</vt:lpstr>
      <vt:lpstr>HZ</vt:lpstr>
      <vt:lpstr>Bil.Eko</vt:lpstr>
      <vt:lpstr>Bil.NS</vt:lpstr>
      <vt:lpstr>Mod.OH1</vt:lpstr>
      <vt:lpstr>Mod.OH2</vt:lpstr>
      <vt:lpstr>Bil.Eko!Oblast_tisku</vt:lpstr>
      <vt:lpstr>Bil.NS!Oblast_tisku</vt:lpstr>
      <vt:lpstr>Mod.OH1!Oblast_tisku</vt:lpstr>
      <vt:lpstr>Mod.OH2!Oblast_tisku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2025-04-14T14:54:42Z</cp:lastPrinted>
  <dcterms:created xsi:type="dcterms:W3CDTF">2017-06-20T21:10:44Z</dcterms:created>
  <dcterms:modified xsi:type="dcterms:W3CDTF">2025-04-15T13:35:33Z</dcterms:modified>
</cp:coreProperties>
</file>