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25200" windowHeight="13710"/>
  </bookViews>
  <sheets>
    <sheet name="zkušební výpočet" sheetId="6" r:id="rId1"/>
    <sheet name="analýza za ČR - výpočet" sheetId="5" r:id="rId2"/>
  </sheets>
  <calcPr calcId="145621"/>
</workbook>
</file>

<file path=xl/calcChain.xml><?xml version="1.0" encoding="utf-8"?>
<calcChain xmlns="http://schemas.openxmlformats.org/spreadsheetml/2006/main">
  <c r="F10" i="5" l="1"/>
  <c r="F9" i="5"/>
  <c r="F8" i="5"/>
  <c r="F7" i="5"/>
  <c r="H46" i="6" l="1"/>
  <c r="F46" i="6"/>
  <c r="H45" i="6"/>
  <c r="H44" i="6"/>
  <c r="H43" i="6"/>
  <c r="H42" i="6"/>
  <c r="F42" i="6"/>
  <c r="H41" i="6"/>
  <c r="F41" i="6"/>
  <c r="H40" i="6"/>
  <c r="H39" i="6"/>
  <c r="F39" i="6"/>
  <c r="H38" i="6"/>
  <c r="F38" i="6"/>
  <c r="F37" i="6"/>
  <c r="H37" i="6"/>
  <c r="F36" i="6"/>
  <c r="C47" i="6"/>
  <c r="H35" i="6"/>
  <c r="H34" i="6"/>
  <c r="F34" i="6"/>
  <c r="H30" i="6"/>
  <c r="H29" i="6"/>
  <c r="H28" i="6"/>
  <c r="H27" i="6"/>
  <c r="H26" i="6"/>
  <c r="D25" i="6"/>
  <c r="H25" i="6" s="1"/>
  <c r="H24" i="6"/>
  <c r="D23" i="6"/>
  <c r="H23" i="6" s="1"/>
  <c r="H22" i="6"/>
  <c r="D21" i="6"/>
  <c r="H21" i="6" s="1"/>
  <c r="H20" i="6"/>
  <c r="H19" i="6"/>
  <c r="H18" i="6"/>
  <c r="H17" i="6"/>
  <c r="H16" i="6"/>
  <c r="H15" i="6"/>
  <c r="C31" i="6"/>
  <c r="C6" i="6"/>
  <c r="E6" i="6" s="1"/>
  <c r="E10" i="6"/>
  <c r="F10" i="6" s="1"/>
  <c r="H31" i="6" l="1"/>
  <c r="E7" i="6"/>
  <c r="F7" i="6" s="1"/>
  <c r="E8" i="6"/>
  <c r="F8" i="6" s="1"/>
  <c r="H36" i="6"/>
  <c r="H47" i="6" s="1"/>
  <c r="J6" i="6"/>
  <c r="E9" i="6"/>
  <c r="F9" i="6" s="1"/>
  <c r="H18" i="5"/>
  <c r="C15" i="5"/>
  <c r="H16" i="5"/>
  <c r="C8" i="5"/>
  <c r="C7" i="5"/>
  <c r="F2" i="6" l="1"/>
  <c r="J8" i="6"/>
  <c r="H49" i="6"/>
  <c r="C44" i="5"/>
  <c r="C45" i="5" s="1"/>
  <c r="C38" i="5"/>
  <c r="C37" i="5"/>
  <c r="C36" i="5"/>
  <c r="H6" i="6" l="1"/>
  <c r="H7" i="6" s="1"/>
  <c r="H8" i="6" s="1"/>
  <c r="H9" i="6" s="1"/>
  <c r="H10" i="6" s="1"/>
  <c r="H11" i="6" s="1"/>
  <c r="H2" i="6"/>
  <c r="H38" i="5"/>
  <c r="H37" i="5"/>
  <c r="H46" i="5"/>
  <c r="F46" i="5"/>
  <c r="H45" i="5"/>
  <c r="H44" i="5"/>
  <c r="H43" i="5"/>
  <c r="H42" i="5"/>
  <c r="F42" i="5"/>
  <c r="H41" i="5"/>
  <c r="F41" i="5"/>
  <c r="H40" i="5"/>
  <c r="H39" i="5"/>
  <c r="F39" i="5"/>
  <c r="F38" i="5"/>
  <c r="F37" i="5"/>
  <c r="F36" i="5"/>
  <c r="H36" i="5"/>
  <c r="H35" i="5"/>
  <c r="H34" i="5"/>
  <c r="F34" i="5"/>
  <c r="H30" i="5"/>
  <c r="H29" i="5"/>
  <c r="H28" i="5"/>
  <c r="H27" i="5"/>
  <c r="H26" i="5"/>
  <c r="D25" i="5"/>
  <c r="H25" i="5" s="1"/>
  <c r="H24" i="5"/>
  <c r="D23" i="5"/>
  <c r="H23" i="5" s="1"/>
  <c r="H22" i="5"/>
  <c r="D21" i="5"/>
  <c r="H21" i="5" s="1"/>
  <c r="H20" i="5"/>
  <c r="H19" i="5"/>
  <c r="H17" i="5"/>
  <c r="C31" i="5"/>
  <c r="C10" i="5"/>
  <c r="C9" i="5"/>
  <c r="C5" i="5"/>
  <c r="H50" i="6" l="1"/>
  <c r="E8" i="5"/>
  <c r="H47" i="5"/>
  <c r="C6" i="5"/>
  <c r="E6" i="5" s="1"/>
  <c r="H15" i="5"/>
  <c r="H31" i="5" s="1"/>
  <c r="E9" i="5"/>
  <c r="J5" i="5"/>
  <c r="E7" i="5"/>
  <c r="E10" i="5"/>
  <c r="J7" i="5"/>
  <c r="C47" i="5"/>
  <c r="J6" i="5" l="1"/>
  <c r="F2" i="5" s="1"/>
  <c r="H49" i="5"/>
  <c r="J8" i="5"/>
  <c r="H2" i="5" l="1"/>
  <c r="H6" i="5"/>
  <c r="H7" i="5" s="1"/>
  <c r="H8" i="5" s="1"/>
  <c r="H9" i="5" s="1"/>
  <c r="H10" i="5" s="1"/>
  <c r="H11" i="5" s="1"/>
  <c r="H50" i="5" l="1"/>
</calcChain>
</file>

<file path=xl/sharedStrings.xml><?xml version="1.0" encoding="utf-8"?>
<sst xmlns="http://schemas.openxmlformats.org/spreadsheetml/2006/main" count="157" uniqueCount="85">
  <si>
    <t>Podíl plodin (%)</t>
  </si>
  <si>
    <t>...a obsahu sušiny (%)</t>
  </si>
  <si>
    <t>Jiný obsah sušiny (%)</t>
  </si>
  <si>
    <t>Drůbeží trus sušený</t>
  </si>
  <si>
    <t>Drůbeží trus s podestýlkou</t>
  </si>
  <si>
    <t>Drůbeží trus uleželý</t>
  </si>
  <si>
    <t>Kejda skotu</t>
  </si>
  <si>
    <t>Fugát kejdy skotu</t>
  </si>
  <si>
    <t>Kejda prasat</t>
  </si>
  <si>
    <t>Fugát kejdy prasat</t>
  </si>
  <si>
    <t>Digestát</t>
  </si>
  <si>
    <t>Fugát digestátu</t>
  </si>
  <si>
    <t>Výpalky melasové zahuštěné</t>
  </si>
  <si>
    <t>Výpalky lihovarnické</t>
  </si>
  <si>
    <t>Upravený kal (ve 100% sušině)</t>
  </si>
  <si>
    <t>Podsevy jetelovin či trav</t>
  </si>
  <si>
    <t>Stip-till</t>
  </si>
  <si>
    <t xml:space="preserve">   jetel, vojtěška (v užitkovém roce), vč. semenářských porostů</t>
  </si>
  <si>
    <t>Zapravení posledního obrostu víceletých pícnin</t>
  </si>
  <si>
    <t>Celkem</t>
  </si>
  <si>
    <t>Koeficient (na 1 ha)</t>
  </si>
  <si>
    <t>Přepočtená plocha (tis. ha)</t>
  </si>
  <si>
    <t>Řepný chrást, příp. nesklizená zelenina</t>
  </si>
  <si>
    <t xml:space="preserve">Doprovodné plodiny zaseté současně s hlavní plodinou </t>
  </si>
  <si>
    <t>Přímé setí do nezpracované půdy, mulče, ochranné plodiny či meziplodiny</t>
  </si>
  <si>
    <t xml:space="preserve">Výsledná potřeba </t>
  </si>
  <si>
    <t>Přepočtená plocha, celkem</t>
  </si>
  <si>
    <t>Celková spotřeba 
(tis. t)</t>
  </si>
  <si>
    <t>...při dávce 
(t/ha)</t>
  </si>
  <si>
    <t>Plocha 
(tis. ha)</t>
  </si>
  <si>
    <t>Korekce potřeby, 
podle plodin (%)</t>
  </si>
  <si>
    <t xml:space="preserve">
(t suš./ha)</t>
  </si>
  <si>
    <t>Dodání organické hmoty do půdy, snížení mineralizace půdní organické hmoty</t>
  </si>
  <si>
    <t xml:space="preserve">Dodání organické hmoty do půdy </t>
  </si>
  <si>
    <t>Potřeba 
(%, tis. ha)</t>
  </si>
  <si>
    <t>Meziplodiny (nad 8 týdnů) – letní (ponechaná nadzemní hmota)</t>
  </si>
  <si>
    <t>Meziplodiny – přezimující (ponechaná nadzemní hmota)</t>
  </si>
  <si>
    <t>Meziplodiny – odvoz nadzemní hmoty</t>
  </si>
  <si>
    <t xml:space="preserve">   ostatní víceleté pícniny (vč. kultury G) a trávy na semeno</t>
  </si>
  <si>
    <t xml:space="preserve">   dopočet plodin dále neuvedených (ostatní obilniny, luskoviny, olejniny, …) a úhorů</t>
  </si>
  <si>
    <t>= OL (t/ha o.p.)</t>
  </si>
  <si>
    <t>Orná půda (o.p., jako součet kultur R + G + U)</t>
  </si>
  <si>
    <r>
      <t>Zákl. potřeba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</si>
  <si>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t>Korekce potřeby, 
podle plodin (na 1 ha)</t>
  </si>
  <si>
    <t xml:space="preserve">Meziplodiny (nad 8 týdnů) – podzimní (ponechaná nadzemní hmota) nebo vymrzající </t>
  </si>
  <si>
    <t>Úhor se zasetou plodinou (kultura U), bez odvozu nadzemní hmoty</t>
  </si>
  <si>
    <t>Druh půdy</t>
  </si>
  <si>
    <t>Plocha (tis. ha)</t>
  </si>
  <si>
    <t>lehká (L)</t>
  </si>
  <si>
    <t>střední (S)</t>
  </si>
  <si>
    <t>těžká (T)</t>
  </si>
  <si>
    <t>písčitá, hlinitopísčitá</t>
  </si>
  <si>
    <t>písčitohlinitá, hlinitá</t>
  </si>
  <si>
    <t>jílovitohlinitá, jílovitá, jíl</t>
  </si>
  <si>
    <t>Půda</t>
  </si>
  <si>
    <r>
      <t xml:space="preserve">Potřeba opatření </t>
    </r>
    <r>
      <rPr>
        <sz val="11"/>
        <color theme="1"/>
        <rFont val="Calibri"/>
        <family val="2"/>
        <charset val="238"/>
        <scheme val="minor"/>
      </rPr>
      <t>(rozsah opatření vychází z aplikace hnoje v dávce cca 30 t/ha)</t>
    </r>
  </si>
  <si>
    <r>
      <t>Plocha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
(tis. ha)</t>
    </r>
  </si>
  <si>
    <r>
      <t xml:space="preserve">Analýza potřeby a možností opatření pro hospodaření s organickou hmotou </t>
    </r>
    <r>
      <rPr>
        <sz val="11"/>
        <color theme="1"/>
        <rFont val="Calibri"/>
        <family val="2"/>
        <charset val="238"/>
        <scheme val="minor"/>
      </rPr>
      <t>(odhad za ČR, kalendářní rok 2020)</t>
    </r>
  </si>
  <si>
    <t xml:space="preserve">   brambory, cukrovka, krmná řepa, brokolice, celer, pór, rajčata, zelí a tykvovitá zelenina  </t>
  </si>
  <si>
    <t xml:space="preserve">   kukuřice, česnek, křen, květák, mrkev, paprika, pastinák</t>
  </si>
  <si>
    <t>Separát digestátu, tuhý digestát</t>
  </si>
  <si>
    <t xml:space="preserve">Hnůj, separát kejdy </t>
  </si>
  <si>
    <t>Hnůj (základní varianta)</t>
  </si>
  <si>
    <t>Jiný kompost</t>
  </si>
  <si>
    <t>Kompost z BRO a/nebo kompost s poměrem C:N pod 10</t>
  </si>
  <si>
    <t>Pracovní verze: 08.07.2021; zpracoval: Klír (VÚRV, v.v.i., tel. 603 520 684, e-mail: klir@vurv.cz)</t>
  </si>
  <si>
    <r>
      <rPr>
        <vertAlign val="superscript"/>
        <sz val="10"/>
        <color theme="1"/>
        <rFont val="Calibri"/>
        <family val="2"/>
        <charset val="238"/>
        <scheme val="minor"/>
      </rPr>
      <t>1)</t>
    </r>
    <r>
      <rPr>
        <sz val="10"/>
        <color theme="1"/>
        <rFont val="Calibri"/>
        <family val="2"/>
        <charset val="238"/>
        <scheme val="minor"/>
      </rPr>
      <t xml:space="preserve"> základní potřeba opatření na orné půdě: na středních půdách na 35 % plochy, na lehkých a těžkých půdách na 30 % plochy</t>
    </r>
  </si>
  <si>
    <r>
      <rPr>
        <vertAlign val="superscript"/>
        <sz val="10"/>
        <color theme="1"/>
        <rFont val="Calibri"/>
        <family val="2"/>
        <charset val="238"/>
        <scheme val="minor"/>
      </rPr>
      <t>2)</t>
    </r>
    <r>
      <rPr>
        <sz val="10"/>
        <color theme="1"/>
        <rFont val="Calibri"/>
        <family val="2"/>
        <charset val="238"/>
        <scheme val="minor"/>
      </rPr>
      <t xml:space="preserve"> stejná plocha se může započítat i vícekrát</t>
    </r>
  </si>
  <si>
    <t>...při prům. dávce 
(t č. hm./ha)</t>
  </si>
  <si>
    <r>
      <t>Jiná prům. dávka</t>
    </r>
    <r>
      <rPr>
        <b/>
        <vertAlign val="superscript"/>
        <sz val="11"/>
        <color theme="1"/>
        <rFont val="Calibri"/>
        <family val="2"/>
        <charset val="238"/>
        <scheme val="minor"/>
      </rPr>
      <t>3)</t>
    </r>
    <r>
      <rPr>
        <b/>
        <sz val="11"/>
        <color theme="1"/>
        <rFont val="Calibri"/>
        <family val="2"/>
        <charset val="238"/>
        <scheme val="minor"/>
      </rPr>
      <t xml:space="preserve">
(t č. hm./ha)</t>
    </r>
  </si>
  <si>
    <r>
      <t xml:space="preserve">    navýšení koef.: kombinace </t>
    </r>
    <r>
      <rPr>
        <sz val="11"/>
        <color theme="1"/>
        <rFont val="Calibri"/>
        <family val="2"/>
        <charset val="238"/>
        <scheme val="minor"/>
      </rPr>
      <t>sláma obilnin + kejda, digestát nebo výpalky</t>
    </r>
  </si>
  <si>
    <r>
      <t>Poznámky: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</si>
  <si>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množství vedlejšího produktu se odvodí z výnosu hlavního produktu (koeficienty v novelizované vyhlášce č. 377/2013 Sb.), množství jiné nadzemní biomasy (meziplodiny, obrost víceletých pícnin, plodiny na úhoru) lze určit na základě vážení vzorku z 1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</si>
  <si>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Výpočet parametrů pro hospodaření s organickou hmotou v zemědělském závodě, za kalendářní rok:</t>
  </si>
  <si>
    <t>Plocha 
(ha)</t>
  </si>
  <si>
    <t>Potřeba 
(%, ha)</t>
  </si>
  <si>
    <t>Celková spotřeba 
(t)</t>
  </si>
  <si>
    <t>Přepočtená plocha (ha)</t>
  </si>
  <si>
    <r>
      <t>Plocha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
(ha)</t>
    </r>
  </si>
  <si>
    <t>Plocha (ha)</t>
  </si>
  <si>
    <r>
      <t xml:space="preserve">Dodání organické hmoty do půdy </t>
    </r>
    <r>
      <rPr>
        <b/>
        <sz val="11"/>
        <color rgb="FFFF0000"/>
        <rFont val="Calibri"/>
        <family val="2"/>
        <charset val="238"/>
        <scheme val="minor"/>
      </rPr>
      <t>(orná půda, jako součet kultur R + G + U)</t>
    </r>
  </si>
  <si>
    <r>
      <t xml:space="preserve">Dodání organické hmoty do půdy, snížení mineralizace půdní organické hmoty </t>
    </r>
    <r>
      <rPr>
        <b/>
        <sz val="11"/>
        <color rgb="FFFF0000"/>
        <rFont val="Calibri"/>
        <family val="2"/>
        <charset val="238"/>
        <scheme val="minor"/>
      </rPr>
      <t>(orná půda, jako součet kultur R + G + U)</t>
    </r>
  </si>
  <si>
    <t>2021</t>
  </si>
  <si>
    <r>
      <t xml:space="preserve">Rozdíl </t>
    </r>
    <r>
      <rPr>
        <sz val="12"/>
        <color theme="1"/>
        <rFont val="Calibri"/>
        <family val="2"/>
        <charset val="238"/>
        <scheme val="minor"/>
      </rPr>
      <t>(kladná hodnota = rezerva)</t>
    </r>
  </si>
  <si>
    <r>
      <t xml:space="preserve">Sláma </t>
    </r>
    <r>
      <rPr>
        <sz val="10"/>
        <color theme="1"/>
        <rFont val="Calibri"/>
        <family val="2"/>
        <charset val="238"/>
        <scheme val="minor"/>
      </rPr>
      <t>(vč. zbytků po sklizni jetelovin a trav na semeno apod.)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</si>
</sst>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65" fontId="0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" fontId="0" fillId="2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1" fontId="0" fillId="2" borderId="1" xfId="0" applyNumberFormat="1" applyFont="1" applyFill="1" applyBorder="1" applyAlignment="1">
      <alignment horizontal="right" vertical="center" indent="3"/>
    </xf>
    <xf numFmtId="0" fontId="0" fillId="2" borderId="1" xfId="0" applyFont="1" applyFill="1" applyBorder="1" applyAlignment="1">
      <alignment horizontal="right" vertical="center" indent="3"/>
    </xf>
    <xf numFmtId="3" fontId="0" fillId="0" borderId="0" xfId="0" applyNumberFormat="1" applyFont="1" applyFill="1" applyBorder="1" applyAlignment="1">
      <alignment horizontal="right" vertical="center" indent="3"/>
    </xf>
    <xf numFmtId="165" fontId="0" fillId="2" borderId="1" xfId="0" applyNumberFormat="1" applyFont="1" applyFill="1" applyBorder="1" applyAlignment="1">
      <alignment horizontal="right" vertical="center" indent="2"/>
    </xf>
    <xf numFmtId="165" fontId="1" fillId="2" borderId="1" xfId="0" applyNumberFormat="1" applyFont="1" applyFill="1" applyBorder="1" applyAlignment="1">
      <alignment horizontal="right" vertical="center" indent="2"/>
    </xf>
    <xf numFmtId="164" fontId="0" fillId="2" borderId="1" xfId="0" applyNumberFormat="1" applyFont="1" applyFill="1" applyBorder="1" applyAlignment="1">
      <alignment horizontal="right" vertical="center" indent="3"/>
    </xf>
    <xf numFmtId="3" fontId="0" fillId="2" borderId="1" xfId="0" applyNumberFormat="1" applyFont="1" applyFill="1" applyBorder="1" applyAlignment="1">
      <alignment horizontal="right" vertical="center" indent="5"/>
    </xf>
    <xf numFmtId="3" fontId="4" fillId="2" borderId="1" xfId="0" applyNumberFormat="1" applyFont="1" applyFill="1" applyBorder="1" applyAlignment="1">
      <alignment horizontal="right" vertical="center" indent="5"/>
    </xf>
    <xf numFmtId="3" fontId="1" fillId="0" borderId="1" xfId="0" applyNumberFormat="1" applyFont="1" applyBorder="1" applyAlignment="1" applyProtection="1">
      <alignment horizontal="right" vertical="center" indent="5"/>
      <protection locked="0"/>
    </xf>
    <xf numFmtId="1" fontId="0" fillId="0" borderId="1" xfId="0" applyNumberFormat="1" applyFont="1" applyBorder="1" applyAlignment="1" applyProtection="1">
      <alignment horizontal="right" vertical="center" indent="5"/>
      <protection locked="0"/>
    </xf>
    <xf numFmtId="3" fontId="3" fillId="0" borderId="1" xfId="0" applyNumberFormat="1" applyFont="1" applyBorder="1" applyAlignment="1" applyProtection="1">
      <alignment horizontal="right" vertical="center" indent="5"/>
      <protection locked="0"/>
    </xf>
    <xf numFmtId="3" fontId="3" fillId="0" borderId="1" xfId="0" applyNumberFormat="1" applyFont="1" applyFill="1" applyBorder="1" applyAlignment="1" applyProtection="1">
      <alignment horizontal="right" vertical="center" indent="5"/>
      <protection locked="0"/>
    </xf>
    <xf numFmtId="165" fontId="0" fillId="0" borderId="1" xfId="0" applyNumberFormat="1" applyFont="1" applyFill="1" applyBorder="1" applyAlignment="1" applyProtection="1">
      <alignment horizontal="right" vertical="center" indent="2"/>
      <protection locked="0"/>
    </xf>
    <xf numFmtId="164" fontId="0" fillId="0" borderId="1" xfId="0" applyNumberFormat="1" applyFont="1" applyFill="1" applyBorder="1" applyAlignment="1" applyProtection="1">
      <alignment horizontal="right" vertical="center" indent="3"/>
      <protection locked="0"/>
    </xf>
    <xf numFmtId="165" fontId="0" fillId="2" borderId="1" xfId="0" applyNumberFormat="1" applyFont="1" applyFill="1" applyBorder="1" applyAlignment="1">
      <alignment horizontal="right" vertical="center" indent="3"/>
    </xf>
    <xf numFmtId="0" fontId="3" fillId="2" borderId="1" xfId="0" applyFont="1" applyFill="1" applyBorder="1" applyAlignment="1">
      <alignment horizontal="right" vertical="center" indent="4"/>
    </xf>
    <xf numFmtId="164" fontId="3" fillId="2" borderId="1" xfId="0" applyNumberFormat="1" applyFont="1" applyFill="1" applyBorder="1" applyAlignment="1">
      <alignment horizontal="right" vertical="center" indent="4"/>
    </xf>
    <xf numFmtId="49" fontId="1" fillId="2" borderId="4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right" vertical="center" indent="4"/>
    </xf>
    <xf numFmtId="0" fontId="0" fillId="2" borderId="1" xfId="0" applyFill="1" applyBorder="1"/>
    <xf numFmtId="0" fontId="10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3" fillId="0" borderId="1" xfId="0" applyFont="1" applyBorder="1"/>
    <xf numFmtId="3" fontId="0" fillId="0" borderId="1" xfId="0" applyNumberFormat="1" applyBorder="1" applyProtection="1">
      <protection locked="0"/>
    </xf>
    <xf numFmtId="3" fontId="0" fillId="2" borderId="1" xfId="0" applyNumberFormat="1" applyFill="1" applyBorder="1"/>
    <xf numFmtId="165" fontId="1" fillId="2" borderId="2" xfId="0" applyNumberFormat="1" applyFont="1" applyFill="1" applyBorder="1" applyAlignment="1" applyProtection="1">
      <alignment horizontal="right" vertical="center" indent="3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2" fontId="0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5" fontId="0" fillId="2" borderId="3" xfId="0" applyNumberFormat="1" applyFont="1" applyFill="1" applyBorder="1" applyAlignment="1">
      <alignment horizontal="right" vertical="center" indent="3"/>
    </xf>
    <xf numFmtId="3" fontId="0" fillId="2" borderId="1" xfId="0" applyNumberFormat="1" applyFont="1" applyFill="1" applyBorder="1" applyAlignment="1">
      <alignment horizontal="right" vertical="center" indent="4"/>
    </xf>
    <xf numFmtId="3" fontId="1" fillId="2" borderId="1" xfId="0" applyNumberFormat="1" applyFont="1" applyFill="1" applyBorder="1" applyAlignment="1">
      <alignment horizontal="right" vertical="center" indent="4"/>
    </xf>
    <xf numFmtId="0" fontId="1" fillId="2" borderId="9" xfId="0" applyFont="1" applyFill="1" applyBorder="1" applyAlignment="1">
      <alignment horizontal="center" vertical="center" wrapText="1"/>
    </xf>
    <xf numFmtId="165" fontId="0" fillId="2" borderId="9" xfId="0" applyNumberFormat="1" applyFont="1" applyFill="1" applyBorder="1" applyAlignment="1">
      <alignment horizontal="right" vertical="center" indent="3"/>
    </xf>
    <xf numFmtId="3" fontId="0" fillId="2" borderId="6" xfId="0" applyNumberFormat="1" applyFont="1" applyFill="1" applyBorder="1" applyAlignment="1">
      <alignment horizontal="right" vertical="center" indent="4"/>
    </xf>
    <xf numFmtId="165" fontId="1" fillId="2" borderId="1" xfId="0" applyNumberFormat="1" applyFont="1" applyFill="1" applyBorder="1" applyAlignment="1">
      <alignment horizontal="right" vertical="center" indent="3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65" fontId="0" fillId="0" borderId="0" xfId="0" applyNumberFormat="1" applyFont="1" applyBorder="1"/>
    <xf numFmtId="2" fontId="0" fillId="0" borderId="0" xfId="0" applyNumberFormat="1"/>
    <xf numFmtId="0" fontId="3" fillId="0" borderId="0" xfId="0" applyFont="1" applyBorder="1"/>
    <xf numFmtId="165" fontId="0" fillId="2" borderId="1" xfId="0" applyNumberFormat="1" applyFont="1" applyFill="1" applyBorder="1" applyAlignment="1" applyProtection="1">
      <alignment horizontal="right" vertical="center" indent="2"/>
      <protection locked="0"/>
    </xf>
    <xf numFmtId="3" fontId="4" fillId="2" borderId="1" xfId="0" applyNumberFormat="1" applyFont="1" applyFill="1" applyBorder="1" applyAlignment="1" applyProtection="1">
      <alignment horizontal="right" vertical="center" indent="5"/>
      <protection locked="0"/>
    </xf>
    <xf numFmtId="1" fontId="4" fillId="2" borderId="1" xfId="0" applyNumberFormat="1" applyFont="1" applyFill="1" applyBorder="1" applyAlignment="1">
      <alignment horizontal="right" vertical="center" indent="3"/>
    </xf>
    <xf numFmtId="165" fontId="4" fillId="2" borderId="1" xfId="0" applyNumberFormat="1" applyFont="1" applyFill="1" applyBorder="1" applyAlignment="1">
      <alignment horizontal="right" vertical="center" indent="3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165" fontId="0" fillId="0" borderId="0" xfId="0" applyNumberFormat="1" applyBorder="1"/>
    <xf numFmtId="165" fontId="1" fillId="0" borderId="0" xfId="0" applyNumberFormat="1" applyFont="1" applyBorder="1"/>
    <xf numFmtId="9" fontId="1" fillId="0" borderId="0" xfId="0" applyNumberFormat="1" applyFont="1" applyBorder="1"/>
    <xf numFmtId="1" fontId="1" fillId="0" borderId="0" xfId="0" applyNumberFormat="1" applyFont="1" applyBorder="1"/>
    <xf numFmtId="2" fontId="1" fillId="0" borderId="0" xfId="0" applyNumberFormat="1" applyFont="1" applyBorder="1"/>
    <xf numFmtId="1" fontId="0" fillId="0" borderId="0" xfId="0" applyNumberFormat="1" applyBorder="1"/>
    <xf numFmtId="2" fontId="0" fillId="0" borderId="0" xfId="0" applyNumberFormat="1" applyBorder="1"/>
    <xf numFmtId="9" fontId="0" fillId="0" borderId="0" xfId="0" applyNumberFormat="1" applyFont="1" applyBorder="1"/>
    <xf numFmtId="9" fontId="0" fillId="0" borderId="0" xfId="0" applyNumberFormat="1" applyBorder="1"/>
    <xf numFmtId="2" fontId="0" fillId="2" borderId="1" xfId="0" applyNumberFormat="1" applyFont="1" applyFill="1" applyBorder="1" applyAlignment="1">
      <alignment horizontal="right" vertical="center" indent="7"/>
    </xf>
    <xf numFmtId="0" fontId="1" fillId="2" borderId="3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right" vertical="center" indent="5"/>
      <protection locked="0"/>
    </xf>
    <xf numFmtId="0" fontId="4" fillId="2" borderId="1" xfId="0" applyFont="1" applyFill="1" applyBorder="1" applyAlignment="1">
      <alignment vertical="center"/>
    </xf>
    <xf numFmtId="9" fontId="1" fillId="0" borderId="0" xfId="0" applyNumberFormat="1" applyFont="1" applyAlignment="1">
      <alignment horizontal="right" vertical="center" indent="3"/>
    </xf>
    <xf numFmtId="0" fontId="0" fillId="0" borderId="0" xfId="0" applyFont="1"/>
    <xf numFmtId="0" fontId="1" fillId="0" borderId="0" xfId="0" applyFont="1" applyBorder="1" applyAlignment="1"/>
    <xf numFmtId="49" fontId="2" fillId="0" borderId="2" xfId="0" applyNumberFormat="1" applyFont="1" applyBorder="1" applyAlignment="1" applyProtection="1">
      <alignment horizontal="center"/>
      <protection locked="0"/>
    </xf>
    <xf numFmtId="166" fontId="1" fillId="0" borderId="1" xfId="0" applyNumberFormat="1" applyFont="1" applyBorder="1" applyAlignment="1" applyProtection="1">
      <alignment horizontal="right" vertical="center" indent="5"/>
      <protection locked="0"/>
    </xf>
    <xf numFmtId="166" fontId="0" fillId="2" borderId="1" xfId="0" applyNumberFormat="1" applyFont="1" applyFill="1" applyBorder="1" applyAlignment="1">
      <alignment horizontal="right" vertical="center" indent="5"/>
    </xf>
    <xf numFmtId="166" fontId="0" fillId="0" borderId="1" xfId="0" applyNumberFormat="1" applyFont="1" applyFill="1" applyBorder="1" applyAlignment="1" applyProtection="1">
      <alignment horizontal="right" vertical="center" indent="5"/>
      <protection locked="0"/>
    </xf>
    <xf numFmtId="166" fontId="0" fillId="0" borderId="1" xfId="0" applyNumberFormat="1" applyFont="1" applyBorder="1" applyAlignment="1" applyProtection="1">
      <alignment horizontal="right" vertical="center" indent="5"/>
      <protection locked="0"/>
    </xf>
    <xf numFmtId="166" fontId="3" fillId="0" borderId="1" xfId="0" applyNumberFormat="1" applyFont="1" applyBorder="1" applyAlignment="1" applyProtection="1">
      <alignment horizontal="right" vertical="center" indent="5"/>
      <protection locked="0"/>
    </xf>
    <xf numFmtId="166" fontId="3" fillId="0" borderId="1" xfId="0" applyNumberFormat="1" applyFont="1" applyFill="1" applyBorder="1" applyAlignment="1" applyProtection="1">
      <alignment horizontal="right" vertical="center" indent="5"/>
      <protection locked="0"/>
    </xf>
    <xf numFmtId="166" fontId="4" fillId="2" borderId="1" xfId="0" applyNumberFormat="1" applyFont="1" applyFill="1" applyBorder="1" applyAlignment="1">
      <alignment horizontal="right" vertical="center" indent="5"/>
    </xf>
    <xf numFmtId="166" fontId="0" fillId="2" borderId="6" xfId="0" applyNumberFormat="1" applyFont="1" applyFill="1" applyBorder="1" applyAlignment="1">
      <alignment horizontal="right" vertical="center" indent="4"/>
    </xf>
    <xf numFmtId="166" fontId="0" fillId="2" borderId="1" xfId="0" applyNumberFormat="1" applyFont="1" applyFill="1" applyBorder="1" applyAlignment="1">
      <alignment horizontal="right" vertical="center" indent="4"/>
    </xf>
    <xf numFmtId="166" fontId="0" fillId="0" borderId="1" xfId="0" applyNumberFormat="1" applyBorder="1" applyProtection="1">
      <protection locked="0"/>
    </xf>
    <xf numFmtId="166" fontId="0" fillId="2" borderId="1" xfId="0" applyNumberFormat="1" applyFill="1" applyBorder="1"/>
    <xf numFmtId="165" fontId="0" fillId="2" borderId="3" xfId="0" applyNumberFormat="1" applyFont="1" applyFill="1" applyBorder="1" applyAlignment="1">
      <alignment horizontal="right" vertical="center" indent="10"/>
    </xf>
    <xf numFmtId="165" fontId="0" fillId="2" borderId="8" xfId="0" applyNumberFormat="1" applyFont="1" applyFill="1" applyBorder="1" applyAlignment="1">
      <alignment horizontal="right" vertical="center" indent="1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65" fontId="0" fillId="2" borderId="4" xfId="0" applyNumberFormat="1" applyFont="1" applyFill="1" applyBorder="1" applyAlignment="1">
      <alignment horizontal="right" vertical="center" indent="10"/>
    </xf>
    <xf numFmtId="0" fontId="0" fillId="0" borderId="0" xfId="0" applyFont="1" applyAlignment="1">
      <alignment horizontal="left" vertical="center"/>
    </xf>
    <xf numFmtId="165" fontId="0" fillId="2" borderId="3" xfId="0" applyNumberFormat="1" applyFont="1" applyFill="1" applyBorder="1" applyAlignment="1">
      <alignment horizontal="center" vertical="center"/>
    </xf>
    <xf numFmtId="165" fontId="0" fillId="2" borderId="8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 indent="4"/>
    </xf>
    <xf numFmtId="3" fontId="1" fillId="0" borderId="0" xfId="0" applyNumberFormat="1" applyFont="1" applyFill="1" applyBorder="1" applyAlignment="1">
      <alignment horizontal="right" vertical="center" indent="4"/>
    </xf>
    <xf numFmtId="0" fontId="5" fillId="0" borderId="0" xfId="0" applyFont="1" applyAlignment="1">
      <alignment horizontal="left" vertical="top" wrapText="1"/>
    </xf>
    <xf numFmtId="166" fontId="2" fillId="2" borderId="1" xfId="0" applyNumberFormat="1" applyFont="1" applyFill="1" applyBorder="1" applyAlignment="1">
      <alignment horizontal="right" vertical="center" indent="4"/>
    </xf>
    <xf numFmtId="0" fontId="2" fillId="2" borderId="1" xfId="0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horizontal="right" vertical="center" indent="4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6"/>
  <sheetViews>
    <sheetView tabSelected="1" zoomScale="90" zoomScaleNormal="90" workbookViewId="0">
      <selection activeCell="K44" sqref="K44"/>
    </sheetView>
  </sheetViews>
  <sheetFormatPr defaultRowHeight="15" x14ac:dyDescent="0.25"/>
  <cols>
    <col min="1" max="1" width="1.5703125" customWidth="1"/>
    <col min="2" max="2" width="86.140625" customWidth="1"/>
    <col min="3" max="3" width="20" customWidth="1"/>
    <col min="4" max="4" width="23.5703125" customWidth="1"/>
    <col min="5" max="5" width="17.140625" customWidth="1"/>
    <col min="6" max="6" width="15.140625" customWidth="1"/>
    <col min="7" max="7" width="17.28515625" customWidth="1"/>
    <col min="8" max="8" width="15.140625" customWidth="1"/>
    <col min="9" max="9" width="12.140625" customWidth="1"/>
    <col min="10" max="10" width="9.85546875" customWidth="1"/>
    <col min="11" max="11" width="24.140625" customWidth="1"/>
    <col min="12" max="12" width="14.28515625" customWidth="1"/>
    <col min="13" max="14" width="17.7109375" customWidth="1"/>
    <col min="16" max="16" width="9" customWidth="1"/>
    <col min="17" max="17" width="9.140625" customWidth="1"/>
    <col min="18" max="18" width="12.42578125" bestFit="1" customWidth="1"/>
    <col min="19" max="19" width="20.140625" customWidth="1"/>
  </cols>
  <sheetData>
    <row r="1" spans="2:19" ht="3.75" customHeight="1" thickBot="1" x14ac:dyDescent="0.3"/>
    <row r="2" spans="2:19" ht="15" customHeight="1" thickBot="1" x14ac:dyDescent="0.3">
      <c r="B2" s="94" t="s">
        <v>73</v>
      </c>
      <c r="C2" s="94"/>
      <c r="D2" s="95" t="s">
        <v>82</v>
      </c>
      <c r="E2" s="43" t="s">
        <v>42</v>
      </c>
      <c r="F2" s="52">
        <f>IF(C5=0,35%,(35%*J6+30%*J5+30%*J7)/C5)</f>
        <v>0.35</v>
      </c>
      <c r="G2" s="42" t="s">
        <v>40</v>
      </c>
      <c r="H2" s="44">
        <f>F2*30*0.165</f>
        <v>1.7325000000000002</v>
      </c>
    </row>
    <row r="3" spans="2:19" ht="3" customHeight="1" x14ac:dyDescent="0.25">
      <c r="B3" s="2"/>
      <c r="C3" s="3"/>
      <c r="D3" s="3"/>
      <c r="E3" s="3"/>
      <c r="F3" s="3"/>
      <c r="G3" s="3"/>
    </row>
    <row r="4" spans="2:19" ht="32.1" customHeight="1" x14ac:dyDescent="0.25">
      <c r="B4" s="4" t="s">
        <v>55</v>
      </c>
      <c r="C4" s="5" t="s">
        <v>74</v>
      </c>
      <c r="D4" s="89" t="s">
        <v>43</v>
      </c>
      <c r="E4" s="5" t="s">
        <v>0</v>
      </c>
      <c r="F4" s="109" t="s">
        <v>30</v>
      </c>
      <c r="G4" s="110"/>
      <c r="H4" s="89" t="s">
        <v>75</v>
      </c>
      <c r="I4" s="5" t="s">
        <v>46</v>
      </c>
      <c r="J4" s="5" t="s">
        <v>79</v>
      </c>
      <c r="K4" s="47" t="s">
        <v>54</v>
      </c>
      <c r="L4" s="76"/>
    </row>
    <row r="5" spans="2:19" ht="14.1" customHeight="1" x14ac:dyDescent="0.25">
      <c r="B5" s="6" t="s">
        <v>41</v>
      </c>
      <c r="C5" s="96"/>
      <c r="D5" s="56"/>
      <c r="E5" s="29"/>
      <c r="F5" s="111"/>
      <c r="G5" s="112"/>
      <c r="H5" s="56"/>
      <c r="I5" s="45" t="s">
        <v>48</v>
      </c>
      <c r="J5" s="105"/>
      <c r="K5" s="49" t="s">
        <v>51</v>
      </c>
      <c r="L5" s="71"/>
    </row>
    <row r="6" spans="2:19" ht="14.1" customHeight="1" x14ac:dyDescent="0.25">
      <c r="B6" s="6" t="s">
        <v>39</v>
      </c>
      <c r="C6" s="97">
        <f>C5-C7-C8-C9-C10</f>
        <v>0</v>
      </c>
      <c r="D6" s="56"/>
      <c r="E6" s="28">
        <f>IF(C$5=0,0,C6/C$5)</f>
        <v>0</v>
      </c>
      <c r="F6" s="111"/>
      <c r="G6" s="112"/>
      <c r="H6" s="59">
        <f>F2</f>
        <v>0.35</v>
      </c>
      <c r="I6" s="45" t="s">
        <v>49</v>
      </c>
      <c r="J6" s="106">
        <f>C5-J5-J7</f>
        <v>0</v>
      </c>
      <c r="K6" s="49" t="s">
        <v>52</v>
      </c>
      <c r="L6" s="71"/>
    </row>
    <row r="7" spans="2:19" ht="14.1" customHeight="1" x14ac:dyDescent="0.25">
      <c r="B7" s="6" t="s">
        <v>58</v>
      </c>
      <c r="C7" s="98"/>
      <c r="D7" s="88">
        <v>0.45</v>
      </c>
      <c r="E7" s="28">
        <f>IF(C$5=0,0,C7/C$5)</f>
        <v>0</v>
      </c>
      <c r="F7" s="107">
        <f>IF($E7=0,0,$E7*D7)</f>
        <v>0</v>
      </c>
      <c r="G7" s="113"/>
      <c r="H7" s="63">
        <f>H6+F7</f>
        <v>0.35</v>
      </c>
      <c r="I7" s="45" t="s">
        <v>50</v>
      </c>
      <c r="J7" s="105"/>
      <c r="K7" s="49" t="s">
        <v>53</v>
      </c>
      <c r="L7" s="71"/>
    </row>
    <row r="8" spans="2:19" ht="14.1" customHeight="1" x14ac:dyDescent="0.25">
      <c r="B8" s="6" t="s">
        <v>59</v>
      </c>
      <c r="C8" s="99"/>
      <c r="D8" s="88">
        <v>0.25</v>
      </c>
      <c r="E8" s="28">
        <f>IF(C$5=0,0,C8/C$5)</f>
        <v>0</v>
      </c>
      <c r="F8" s="107">
        <f>IF($E8=0,0,$E8*D8)</f>
        <v>0</v>
      </c>
      <c r="G8" s="108"/>
      <c r="H8" s="39">
        <f>H7+F8</f>
        <v>0.35</v>
      </c>
      <c r="J8" s="46" t="str">
        <f>IF(C5=0,"",IF(J6&lt;0,"chyba",""))</f>
        <v/>
      </c>
    </row>
    <row r="9" spans="2:19" ht="14.1" customHeight="1" x14ac:dyDescent="0.25">
      <c r="B9" s="6" t="s">
        <v>17</v>
      </c>
      <c r="C9" s="99"/>
      <c r="D9" s="88">
        <v>-0.9</v>
      </c>
      <c r="E9" s="28">
        <f>IF(C$5=0,0,C9/C$5)</f>
        <v>0</v>
      </c>
      <c r="F9" s="107">
        <f>IF($E9=0,0,$E9*D9)</f>
        <v>0</v>
      </c>
      <c r="G9" s="108"/>
      <c r="H9" s="39">
        <f>H8+F9</f>
        <v>0.35</v>
      </c>
    </row>
    <row r="10" spans="2:19" ht="14.1" customHeight="1" x14ac:dyDescent="0.25">
      <c r="B10" s="6" t="s">
        <v>38</v>
      </c>
      <c r="C10" s="99"/>
      <c r="D10" s="88">
        <v>-0.7</v>
      </c>
      <c r="E10" s="28">
        <f>IF(C$5=0,0,C10/C$5)</f>
        <v>0</v>
      </c>
      <c r="F10" s="107">
        <f>IF($E10=0,0,$E10*D10)</f>
        <v>0</v>
      </c>
      <c r="G10" s="108"/>
      <c r="H10" s="65">
        <f>H9+F10</f>
        <v>0.35</v>
      </c>
    </row>
    <row r="11" spans="2:19" ht="14.1" customHeight="1" x14ac:dyDescent="0.25">
      <c r="B11" s="9" t="s">
        <v>25</v>
      </c>
      <c r="C11" s="10"/>
      <c r="D11" s="57"/>
      <c r="E11" s="28"/>
      <c r="F11" s="115"/>
      <c r="G11" s="116"/>
      <c r="H11" s="124">
        <f>H10*$C$5</f>
        <v>0</v>
      </c>
    </row>
    <row r="12" spans="2:19" ht="3" customHeight="1" x14ac:dyDescent="0.25">
      <c r="B12" s="11"/>
      <c r="C12" s="11"/>
      <c r="D12" s="11"/>
      <c r="E12" s="11"/>
      <c r="F12" s="11"/>
      <c r="G12" s="11"/>
      <c r="H12" s="67"/>
    </row>
    <row r="13" spans="2:19" ht="32.25" customHeight="1" x14ac:dyDescent="0.25">
      <c r="B13" s="53" t="s">
        <v>80</v>
      </c>
      <c r="C13" s="54" t="s">
        <v>76</v>
      </c>
      <c r="D13" s="89" t="s">
        <v>20</v>
      </c>
      <c r="E13" s="54" t="s">
        <v>28</v>
      </c>
      <c r="F13" s="54" t="s">
        <v>1</v>
      </c>
      <c r="G13" s="62" t="s">
        <v>2</v>
      </c>
      <c r="H13" s="66" t="s">
        <v>77</v>
      </c>
      <c r="K13" s="77"/>
      <c r="L13" s="78"/>
      <c r="M13" s="78"/>
      <c r="N13" s="78"/>
      <c r="O13" s="78"/>
      <c r="P13" s="78"/>
      <c r="Q13" s="78"/>
      <c r="R13" s="78"/>
      <c r="S13" s="78"/>
    </row>
    <row r="14" spans="2:19" ht="13.5" customHeight="1" x14ac:dyDescent="0.25">
      <c r="B14" s="91" t="s">
        <v>62</v>
      </c>
      <c r="C14" s="73"/>
      <c r="D14" s="88">
        <v>1</v>
      </c>
      <c r="E14" s="74">
        <v>30</v>
      </c>
      <c r="F14" s="75">
        <v>0.22</v>
      </c>
      <c r="G14" s="72"/>
      <c r="H14" s="64"/>
      <c r="K14" s="77"/>
      <c r="L14" s="79"/>
      <c r="M14" s="80"/>
      <c r="N14" s="81"/>
      <c r="O14" s="82"/>
      <c r="P14" s="83"/>
      <c r="Q14" s="81"/>
      <c r="R14" s="83"/>
      <c r="S14" s="83"/>
    </row>
    <row r="15" spans="2:19" ht="14.1" customHeight="1" x14ac:dyDescent="0.25">
      <c r="B15" s="6" t="s">
        <v>61</v>
      </c>
      <c r="C15" s="100"/>
      <c r="D15" s="88">
        <v>0.85</v>
      </c>
      <c r="E15" s="25">
        <v>25</v>
      </c>
      <c r="F15" s="39">
        <v>0.22</v>
      </c>
      <c r="G15" s="37"/>
      <c r="H15" s="103">
        <f t="shared" ref="H15:H30" si="0">IF(G15=0,(C15/E15)*D15,(C15/E15)*D15*(G15/F15))</f>
        <v>0</v>
      </c>
      <c r="K15" s="77"/>
      <c r="L15" s="79"/>
      <c r="M15" s="69"/>
      <c r="N15" s="81"/>
      <c r="O15" s="84"/>
      <c r="P15" s="85"/>
      <c r="Q15" s="86"/>
      <c r="R15" s="83"/>
      <c r="S15" s="85"/>
    </row>
    <row r="16" spans="2:19" ht="14.1" customHeight="1" x14ac:dyDescent="0.25">
      <c r="B16" s="6" t="s">
        <v>60</v>
      </c>
      <c r="C16" s="100"/>
      <c r="D16" s="88">
        <v>0.75</v>
      </c>
      <c r="E16" s="25">
        <v>25</v>
      </c>
      <c r="F16" s="39">
        <v>0.23</v>
      </c>
      <c r="G16" s="37"/>
      <c r="H16" s="103">
        <f t="shared" si="0"/>
        <v>0</v>
      </c>
      <c r="K16" s="77"/>
      <c r="L16" s="79"/>
      <c r="M16" s="69"/>
      <c r="N16" s="81"/>
      <c r="O16" s="84"/>
      <c r="P16" s="85"/>
      <c r="Q16" s="86"/>
      <c r="R16" s="83"/>
      <c r="S16" s="85"/>
    </row>
    <row r="17" spans="2:23" ht="14.1" customHeight="1" x14ac:dyDescent="0.25">
      <c r="B17" s="6" t="s">
        <v>64</v>
      </c>
      <c r="C17" s="100"/>
      <c r="D17" s="88">
        <v>0.65</v>
      </c>
      <c r="E17" s="25">
        <v>15</v>
      </c>
      <c r="F17" s="39">
        <v>0.4</v>
      </c>
      <c r="G17" s="37"/>
      <c r="H17" s="104">
        <f t="shared" si="0"/>
        <v>0</v>
      </c>
      <c r="K17" s="77"/>
      <c r="L17" s="79"/>
      <c r="M17" s="69"/>
      <c r="N17" s="81"/>
      <c r="O17" s="84"/>
      <c r="P17" s="85"/>
      <c r="Q17" s="87"/>
      <c r="R17" s="83"/>
      <c r="S17" s="85"/>
    </row>
    <row r="18" spans="2:23" ht="14.1" customHeight="1" x14ac:dyDescent="0.25">
      <c r="B18" s="6" t="s">
        <v>63</v>
      </c>
      <c r="C18" s="100"/>
      <c r="D18" s="88">
        <v>1</v>
      </c>
      <c r="E18" s="25">
        <v>15</v>
      </c>
      <c r="F18" s="39">
        <v>0.4</v>
      </c>
      <c r="G18" s="37"/>
      <c r="H18" s="104">
        <f t="shared" si="0"/>
        <v>0</v>
      </c>
      <c r="K18" s="77"/>
      <c r="L18" s="79"/>
      <c r="M18" s="69"/>
      <c r="N18" s="81"/>
      <c r="O18" s="84"/>
      <c r="P18" s="85"/>
      <c r="Q18" s="87"/>
      <c r="R18" s="83"/>
      <c r="S18" s="85"/>
    </row>
    <row r="19" spans="2:23" ht="14.1" customHeight="1" x14ac:dyDescent="0.25">
      <c r="B19" s="6" t="s">
        <v>14</v>
      </c>
      <c r="C19" s="100"/>
      <c r="D19" s="88">
        <v>0.4</v>
      </c>
      <c r="E19" s="25">
        <v>5</v>
      </c>
      <c r="F19" s="39">
        <v>1</v>
      </c>
      <c r="G19" s="37"/>
      <c r="H19" s="104">
        <f t="shared" si="0"/>
        <v>0</v>
      </c>
      <c r="K19" s="77"/>
      <c r="L19" s="79"/>
      <c r="M19" s="69"/>
      <c r="N19" s="81"/>
      <c r="O19" s="84"/>
      <c r="P19" s="85"/>
      <c r="Q19" s="87"/>
      <c r="R19" s="83"/>
      <c r="S19" s="85"/>
      <c r="W19" s="70"/>
    </row>
    <row r="20" spans="2:23" ht="14.1" customHeight="1" x14ac:dyDescent="0.25">
      <c r="B20" s="6" t="s">
        <v>6</v>
      </c>
      <c r="C20" s="101"/>
      <c r="D20" s="88">
        <v>0.18</v>
      </c>
      <c r="E20" s="25">
        <v>20</v>
      </c>
      <c r="F20" s="39">
        <v>7.2999999999999995E-2</v>
      </c>
      <c r="G20" s="37"/>
      <c r="H20" s="104">
        <f t="shared" si="0"/>
        <v>0</v>
      </c>
      <c r="K20" s="77"/>
      <c r="L20" s="79"/>
      <c r="M20" s="69"/>
      <c r="N20" s="81"/>
      <c r="O20" s="84"/>
      <c r="P20" s="85"/>
      <c r="Q20" s="87"/>
      <c r="R20" s="83"/>
      <c r="S20" s="85"/>
      <c r="W20" s="70"/>
    </row>
    <row r="21" spans="2:23" ht="14.1" customHeight="1" x14ac:dyDescent="0.25">
      <c r="B21" s="6" t="s">
        <v>7</v>
      </c>
      <c r="C21" s="101"/>
      <c r="D21" s="88">
        <f>F21/F20*D20+0.002</f>
        <v>0.14501369863013699</v>
      </c>
      <c r="E21" s="25">
        <v>20</v>
      </c>
      <c r="F21" s="39">
        <v>5.8000000000000003E-2</v>
      </c>
      <c r="G21" s="37"/>
      <c r="H21" s="104">
        <f t="shared" si="0"/>
        <v>0</v>
      </c>
      <c r="K21" s="77"/>
      <c r="L21" s="79"/>
      <c r="M21" s="69"/>
      <c r="N21" s="81"/>
      <c r="O21" s="84"/>
      <c r="P21" s="85"/>
      <c r="Q21" s="87"/>
      <c r="R21" s="83"/>
      <c r="S21" s="85"/>
      <c r="W21" s="70"/>
    </row>
    <row r="22" spans="2:23" ht="14.1" customHeight="1" x14ac:dyDescent="0.25">
      <c r="B22" s="6" t="s">
        <v>8</v>
      </c>
      <c r="C22" s="101"/>
      <c r="D22" s="88">
        <v>0.1</v>
      </c>
      <c r="E22" s="25">
        <v>20</v>
      </c>
      <c r="F22" s="39">
        <v>5.2999999999999999E-2</v>
      </c>
      <c r="G22" s="37"/>
      <c r="H22" s="104">
        <f t="shared" si="0"/>
        <v>0</v>
      </c>
      <c r="K22" s="77"/>
      <c r="L22" s="79"/>
      <c r="M22" s="69"/>
      <c r="N22" s="81"/>
      <c r="O22" s="84"/>
      <c r="P22" s="85"/>
      <c r="Q22" s="87"/>
      <c r="R22" s="83"/>
      <c r="S22" s="85"/>
      <c r="W22" s="70"/>
    </row>
    <row r="23" spans="2:23" ht="14.1" customHeight="1" x14ac:dyDescent="0.25">
      <c r="B23" s="6" t="s">
        <v>9</v>
      </c>
      <c r="C23" s="101"/>
      <c r="D23" s="88">
        <f>F23/F22*D22+0.001</f>
        <v>6.5150943396226429E-2</v>
      </c>
      <c r="E23" s="25">
        <v>20</v>
      </c>
      <c r="F23" s="39">
        <v>3.4000000000000002E-2</v>
      </c>
      <c r="G23" s="37"/>
      <c r="H23" s="104">
        <f t="shared" si="0"/>
        <v>0</v>
      </c>
      <c r="K23" s="77"/>
      <c r="L23" s="79"/>
      <c r="M23" s="69"/>
      <c r="N23" s="81"/>
      <c r="O23" s="84"/>
      <c r="P23" s="85"/>
      <c r="Q23" s="87"/>
      <c r="R23" s="83"/>
      <c r="S23" s="85"/>
      <c r="W23" s="70"/>
    </row>
    <row r="24" spans="2:23" ht="14.1" customHeight="1" x14ac:dyDescent="0.25">
      <c r="B24" s="6" t="s">
        <v>10</v>
      </c>
      <c r="C24" s="100"/>
      <c r="D24" s="88">
        <v>0.15</v>
      </c>
      <c r="E24" s="25">
        <v>20</v>
      </c>
      <c r="F24" s="39">
        <v>6.5000000000000002E-2</v>
      </c>
      <c r="G24" s="37"/>
      <c r="H24" s="104">
        <f t="shared" si="0"/>
        <v>0</v>
      </c>
      <c r="K24" s="77"/>
      <c r="L24" s="79"/>
      <c r="M24" s="69"/>
      <c r="N24" s="81"/>
      <c r="O24" s="84"/>
      <c r="P24" s="85"/>
      <c r="Q24" s="87"/>
      <c r="R24" s="83"/>
      <c r="S24" s="85"/>
      <c r="W24" s="70"/>
    </row>
    <row r="25" spans="2:23" ht="14.1" customHeight="1" x14ac:dyDescent="0.25">
      <c r="B25" s="6" t="s">
        <v>11</v>
      </c>
      <c r="C25" s="100"/>
      <c r="D25" s="88">
        <f>F25/F24*D24</f>
        <v>9.9230769230769206E-2</v>
      </c>
      <c r="E25" s="25">
        <v>20</v>
      </c>
      <c r="F25" s="39">
        <v>4.2999999999999997E-2</v>
      </c>
      <c r="G25" s="37"/>
      <c r="H25" s="104">
        <f t="shared" si="0"/>
        <v>0</v>
      </c>
      <c r="K25" s="77"/>
      <c r="L25" s="79"/>
      <c r="M25" s="69"/>
      <c r="N25" s="81"/>
      <c r="O25" s="84"/>
      <c r="P25" s="85"/>
      <c r="Q25" s="87"/>
      <c r="R25" s="83"/>
      <c r="S25" s="85"/>
      <c r="W25" s="70"/>
    </row>
    <row r="26" spans="2:23" ht="14.1" customHeight="1" x14ac:dyDescent="0.25">
      <c r="B26" s="6" t="s">
        <v>12</v>
      </c>
      <c r="C26" s="100"/>
      <c r="D26" s="88">
        <v>0.15</v>
      </c>
      <c r="E26" s="25">
        <v>5</v>
      </c>
      <c r="F26" s="39">
        <v>0.3</v>
      </c>
      <c r="G26" s="37"/>
      <c r="H26" s="104">
        <f t="shared" si="0"/>
        <v>0</v>
      </c>
      <c r="K26" s="77"/>
      <c r="L26" s="79"/>
      <c r="M26" s="69"/>
      <c r="N26" s="81"/>
      <c r="O26" s="84"/>
      <c r="P26" s="85"/>
      <c r="Q26" s="87"/>
      <c r="R26" s="83"/>
      <c r="S26" s="85"/>
      <c r="W26" s="70"/>
    </row>
    <row r="27" spans="2:23" ht="14.1" customHeight="1" x14ac:dyDescent="0.25">
      <c r="B27" s="6" t="s">
        <v>13</v>
      </c>
      <c r="C27" s="100"/>
      <c r="D27" s="88">
        <v>0.1</v>
      </c>
      <c r="E27" s="25">
        <v>20</v>
      </c>
      <c r="F27" s="39">
        <v>0.05</v>
      </c>
      <c r="G27" s="37"/>
      <c r="H27" s="104">
        <f t="shared" si="0"/>
        <v>0</v>
      </c>
      <c r="K27" s="77"/>
      <c r="L27" s="79"/>
      <c r="M27" s="69"/>
      <c r="N27" s="81"/>
      <c r="O27" s="84"/>
      <c r="P27" s="85"/>
      <c r="Q27" s="87"/>
      <c r="R27" s="83"/>
      <c r="S27" s="85"/>
      <c r="W27" s="70"/>
    </row>
    <row r="28" spans="2:23" ht="14.1" customHeight="1" x14ac:dyDescent="0.25">
      <c r="B28" s="6" t="s">
        <v>3</v>
      </c>
      <c r="C28" s="100"/>
      <c r="D28" s="88">
        <v>0.3</v>
      </c>
      <c r="E28" s="25">
        <v>5</v>
      </c>
      <c r="F28" s="39">
        <v>0.73</v>
      </c>
      <c r="G28" s="37"/>
      <c r="H28" s="104">
        <f t="shared" si="0"/>
        <v>0</v>
      </c>
      <c r="K28" s="77"/>
      <c r="L28" s="79"/>
      <c r="M28" s="69"/>
      <c r="N28" s="81"/>
      <c r="O28" s="84"/>
      <c r="P28" s="85"/>
      <c r="Q28" s="87"/>
      <c r="R28" s="83"/>
      <c r="S28" s="85"/>
      <c r="W28" s="70"/>
    </row>
    <row r="29" spans="2:23" ht="14.1" customHeight="1" x14ac:dyDescent="0.25">
      <c r="B29" s="6" t="s">
        <v>4</v>
      </c>
      <c r="C29" s="100"/>
      <c r="D29" s="88">
        <v>0.17</v>
      </c>
      <c r="E29" s="25">
        <v>5.2941176470588234</v>
      </c>
      <c r="F29" s="39">
        <v>0.42</v>
      </c>
      <c r="G29" s="37"/>
      <c r="H29" s="104">
        <f t="shared" si="0"/>
        <v>0</v>
      </c>
      <c r="K29" s="77"/>
      <c r="L29" s="79"/>
      <c r="M29" s="69"/>
      <c r="N29" s="81"/>
      <c r="O29" s="84"/>
      <c r="P29" s="85"/>
      <c r="Q29" s="87"/>
      <c r="R29" s="83"/>
      <c r="S29" s="85"/>
      <c r="W29" s="70"/>
    </row>
    <row r="30" spans="2:23" ht="14.1" customHeight="1" x14ac:dyDescent="0.25">
      <c r="B30" s="6" t="s">
        <v>5</v>
      </c>
      <c r="C30" s="100"/>
      <c r="D30" s="88">
        <v>0.13</v>
      </c>
      <c r="E30" s="25">
        <v>5.2941176470588234</v>
      </c>
      <c r="F30" s="39">
        <v>0.32</v>
      </c>
      <c r="G30" s="37"/>
      <c r="H30" s="104">
        <f t="shared" si="0"/>
        <v>0</v>
      </c>
      <c r="K30" s="77"/>
      <c r="L30" s="79"/>
      <c r="M30" s="69"/>
      <c r="N30" s="81"/>
      <c r="O30" s="84"/>
      <c r="P30" s="85"/>
      <c r="Q30" s="87"/>
      <c r="R30" s="83"/>
      <c r="S30" s="85"/>
      <c r="W30" s="70"/>
    </row>
    <row r="31" spans="2:23" ht="14.1" customHeight="1" x14ac:dyDescent="0.25">
      <c r="B31" s="9" t="s">
        <v>19</v>
      </c>
      <c r="C31" s="102">
        <f>SUM(C15:C30)</f>
        <v>0</v>
      </c>
      <c r="D31" s="8"/>
      <c r="E31" s="12"/>
      <c r="F31" s="7"/>
      <c r="G31" s="7"/>
      <c r="H31" s="44">
        <f>SUM(H15:H30)</f>
        <v>0</v>
      </c>
    </row>
    <row r="32" spans="2:23" ht="3" customHeight="1" x14ac:dyDescent="0.25">
      <c r="B32" s="13"/>
      <c r="C32" s="14"/>
      <c r="D32" s="15"/>
      <c r="E32" s="16"/>
      <c r="F32" s="17"/>
      <c r="G32" s="18"/>
      <c r="H32" s="27"/>
    </row>
    <row r="33" spans="2:19" ht="33.75" customHeight="1" x14ac:dyDescent="0.25">
      <c r="B33" s="53" t="s">
        <v>81</v>
      </c>
      <c r="C33" s="54" t="s">
        <v>78</v>
      </c>
      <c r="D33" s="89" t="s">
        <v>20</v>
      </c>
      <c r="E33" s="54" t="s">
        <v>68</v>
      </c>
      <c r="F33" s="55" t="s">
        <v>31</v>
      </c>
      <c r="G33" s="54" t="s">
        <v>69</v>
      </c>
      <c r="H33" s="66" t="s">
        <v>77</v>
      </c>
    </row>
    <row r="34" spans="2:19" ht="14.1" customHeight="1" x14ac:dyDescent="0.25">
      <c r="B34" s="6" t="s">
        <v>84</v>
      </c>
      <c r="C34" s="100"/>
      <c r="D34" s="88">
        <v>0.5</v>
      </c>
      <c r="E34" s="26">
        <v>5</v>
      </c>
      <c r="F34" s="40">
        <f>E34*0.9</f>
        <v>4.5</v>
      </c>
      <c r="G34" s="38"/>
      <c r="H34" s="104">
        <f>IF(G34=0,C34*D34,(C34*D34)*(G34/E34))</f>
        <v>0</v>
      </c>
      <c r="M34" s="69"/>
      <c r="N34" s="69"/>
      <c r="P34" s="1"/>
      <c r="R34" s="48"/>
      <c r="S34" s="70"/>
    </row>
    <row r="35" spans="2:19" ht="14.1" customHeight="1" x14ac:dyDescent="0.25">
      <c r="B35" s="6" t="s">
        <v>70</v>
      </c>
      <c r="C35" s="100"/>
      <c r="D35" s="88">
        <v>0.1</v>
      </c>
      <c r="E35" s="26"/>
      <c r="F35" s="40"/>
      <c r="G35" s="30"/>
      <c r="H35" s="104">
        <f>IF(G35=0,C35*D35,(C35*D35)*(G35/E35))</f>
        <v>0</v>
      </c>
      <c r="M35" s="69"/>
      <c r="N35" s="69"/>
      <c r="P35" s="1"/>
      <c r="Q35" s="48"/>
      <c r="R35" s="48"/>
      <c r="S35" s="70"/>
    </row>
    <row r="36" spans="2:19" ht="14.1" customHeight="1" x14ac:dyDescent="0.25">
      <c r="B36" s="6" t="s">
        <v>22</v>
      </c>
      <c r="C36" s="101"/>
      <c r="D36" s="88">
        <v>0.25</v>
      </c>
      <c r="E36" s="26">
        <v>25</v>
      </c>
      <c r="F36" s="41">
        <f>E36*0.15</f>
        <v>3.75</v>
      </c>
      <c r="G36" s="38"/>
      <c r="H36" s="104">
        <f>IF(G36=0,C36*D36,(C36*D36)*(G36/E36))</f>
        <v>0</v>
      </c>
      <c r="M36" s="69"/>
      <c r="N36" s="69"/>
      <c r="P36" s="1"/>
      <c r="Q36" s="48"/>
      <c r="R36" s="48"/>
      <c r="S36" s="70"/>
    </row>
    <row r="37" spans="2:19" ht="14.1" customHeight="1" x14ac:dyDescent="0.25">
      <c r="B37" s="6" t="s">
        <v>35</v>
      </c>
      <c r="C37" s="100"/>
      <c r="D37" s="88">
        <v>0.2</v>
      </c>
      <c r="E37" s="26">
        <v>10</v>
      </c>
      <c r="F37" s="41">
        <f t="shared" ref="F37:F42" si="1">E37*0.15</f>
        <v>1.5</v>
      </c>
      <c r="G37" s="38"/>
      <c r="H37" s="104">
        <f>IF(G37=0,C37*D37,(C37*(D37-0.1))+(C37*0.1*(G37/E37)))</f>
        <v>0</v>
      </c>
    </row>
    <row r="38" spans="2:19" ht="14.1" customHeight="1" x14ac:dyDescent="0.25">
      <c r="B38" s="6" t="s">
        <v>44</v>
      </c>
      <c r="C38" s="100"/>
      <c r="D38" s="88">
        <v>0.35</v>
      </c>
      <c r="E38" s="26">
        <v>25</v>
      </c>
      <c r="F38" s="41">
        <f t="shared" si="1"/>
        <v>3.75</v>
      </c>
      <c r="G38" s="38"/>
      <c r="H38" s="104">
        <f>IF(G38=0,C38*D38,(C38*(D38-0.25))+(C38*0.25*(G38/E38)))</f>
        <v>0</v>
      </c>
    </row>
    <row r="39" spans="2:19" ht="14.1" customHeight="1" x14ac:dyDescent="0.25">
      <c r="B39" s="6" t="s">
        <v>36</v>
      </c>
      <c r="C39" s="100"/>
      <c r="D39" s="88">
        <v>0.45</v>
      </c>
      <c r="E39" s="26">
        <v>30</v>
      </c>
      <c r="F39" s="41">
        <f t="shared" si="1"/>
        <v>4.5</v>
      </c>
      <c r="G39" s="38"/>
      <c r="H39" s="104">
        <f>IF(G39=0,C39*D39,(C39*(D39-0.3))+(C39*0.3*(G39/E39)))</f>
        <v>0</v>
      </c>
    </row>
    <row r="40" spans="2:19" ht="14.1" customHeight="1" x14ac:dyDescent="0.25">
      <c r="B40" s="6" t="s">
        <v>37</v>
      </c>
      <c r="C40" s="100"/>
      <c r="D40" s="88">
        <v>0.1</v>
      </c>
      <c r="E40" s="26"/>
      <c r="F40" s="41"/>
      <c r="G40" s="30"/>
      <c r="H40" s="104">
        <f>IF(G40=0,C40*D40,(C40*D40)*(G40/E40))</f>
        <v>0</v>
      </c>
    </row>
    <row r="41" spans="2:19" ht="14.1" customHeight="1" x14ac:dyDescent="0.25">
      <c r="B41" s="6" t="s">
        <v>23</v>
      </c>
      <c r="C41" s="100"/>
      <c r="D41" s="88">
        <v>0.2</v>
      </c>
      <c r="E41" s="26">
        <v>10</v>
      </c>
      <c r="F41" s="41">
        <f t="shared" si="1"/>
        <v>1.5</v>
      </c>
      <c r="G41" s="38"/>
      <c r="H41" s="104">
        <f>IF(G41=0,C41*D41,(C41*(D41-0.1))+(C41*0.1*(G41/E41)))</f>
        <v>0</v>
      </c>
    </row>
    <row r="42" spans="2:19" ht="14.1" customHeight="1" x14ac:dyDescent="0.25">
      <c r="B42" s="6" t="s">
        <v>18</v>
      </c>
      <c r="C42" s="100"/>
      <c r="D42" s="88">
        <v>0.2</v>
      </c>
      <c r="E42" s="26">
        <v>10</v>
      </c>
      <c r="F42" s="41">
        <f t="shared" si="1"/>
        <v>1.5</v>
      </c>
      <c r="G42" s="38"/>
      <c r="H42" s="104">
        <f>IF(G42=0,C42*D42,(C42*D42)*(G42/E42))</f>
        <v>0</v>
      </c>
      <c r="M42" s="69"/>
      <c r="N42" s="69"/>
      <c r="P42" s="1"/>
      <c r="Q42" s="48"/>
      <c r="R42" s="48"/>
      <c r="S42" s="70"/>
    </row>
    <row r="43" spans="2:19" ht="14.1" customHeight="1" x14ac:dyDescent="0.25">
      <c r="B43" s="6" t="s">
        <v>15</v>
      </c>
      <c r="C43" s="100"/>
      <c r="D43" s="88">
        <v>0.2</v>
      </c>
      <c r="E43" s="26"/>
      <c r="F43" s="40"/>
      <c r="G43" s="30"/>
      <c r="H43" s="104">
        <f>IF(G43=0,C43*D43,(C43*D43)*(G43/E43))</f>
        <v>0</v>
      </c>
    </row>
    <row r="44" spans="2:19" ht="14.1" customHeight="1" x14ac:dyDescent="0.25">
      <c r="B44" s="6" t="s">
        <v>16</v>
      </c>
      <c r="C44" s="100"/>
      <c r="D44" s="88">
        <v>0.2</v>
      </c>
      <c r="E44" s="26"/>
      <c r="F44" s="40"/>
      <c r="G44" s="30"/>
      <c r="H44" s="104">
        <f>IF(G44=0,C44*D44,(C44*D44)*(G44/E44))</f>
        <v>0</v>
      </c>
    </row>
    <row r="45" spans="2:19" ht="14.1" customHeight="1" x14ac:dyDescent="0.25">
      <c r="B45" s="6" t="s">
        <v>24</v>
      </c>
      <c r="C45" s="100"/>
      <c r="D45" s="88">
        <v>0.2</v>
      </c>
      <c r="E45" s="26"/>
      <c r="F45" s="40"/>
      <c r="G45" s="30"/>
      <c r="H45" s="104">
        <f>IF(G45=0,C45*D45,(C45*D45)*(G45/E45))</f>
        <v>0</v>
      </c>
    </row>
    <row r="46" spans="2:19" ht="14.1" customHeight="1" x14ac:dyDescent="0.25">
      <c r="B46" s="6" t="s">
        <v>45</v>
      </c>
      <c r="C46" s="100"/>
      <c r="D46" s="88">
        <v>0.45</v>
      </c>
      <c r="E46" s="26">
        <v>20</v>
      </c>
      <c r="F46" s="41">
        <f>E46*0.15</f>
        <v>3</v>
      </c>
      <c r="G46" s="38"/>
      <c r="H46" s="104">
        <f>IF(G46=0,C46*D46,(C46*(D46-0.2))+(C46*0.2*(G46/E46)))</f>
        <v>0</v>
      </c>
    </row>
    <row r="47" spans="2:19" ht="14.1" customHeight="1" x14ac:dyDescent="0.25">
      <c r="B47" s="9" t="s">
        <v>19</v>
      </c>
      <c r="C47" s="102">
        <f>SUM(C34:C46)</f>
        <v>0</v>
      </c>
      <c r="D47" s="88"/>
      <c r="E47" s="6"/>
      <c r="F47" s="6"/>
      <c r="G47" s="20"/>
      <c r="H47" s="44">
        <f>SUM(H34:H46)</f>
        <v>0</v>
      </c>
    </row>
    <row r="48" spans="2:19" ht="4.5" customHeight="1" x14ac:dyDescent="0.25">
      <c r="B48" s="21"/>
      <c r="C48" s="22"/>
      <c r="D48" s="23"/>
      <c r="E48" s="13"/>
      <c r="F48" s="13"/>
      <c r="G48" s="23"/>
      <c r="H48" s="126"/>
    </row>
    <row r="49" spans="2:12" ht="14.1" customHeight="1" x14ac:dyDescent="0.25">
      <c r="B49" s="9" t="s">
        <v>26</v>
      </c>
      <c r="C49" s="24"/>
      <c r="D49" s="19"/>
      <c r="E49" s="6"/>
      <c r="F49" s="6"/>
      <c r="G49" s="19"/>
      <c r="H49" s="124">
        <f>H31+H47</f>
        <v>0</v>
      </c>
    </row>
    <row r="50" spans="2:12" ht="14.1" customHeight="1" x14ac:dyDescent="0.25">
      <c r="B50" s="125" t="s">
        <v>83</v>
      </c>
      <c r="C50" s="6"/>
      <c r="D50" s="6"/>
      <c r="E50" s="6"/>
      <c r="F50" s="6"/>
      <c r="G50" s="6"/>
      <c r="H50" s="124">
        <f>H49-H11</f>
        <v>0</v>
      </c>
    </row>
    <row r="51" spans="2:12" ht="15.95" customHeight="1" x14ac:dyDescent="0.25">
      <c r="B51" s="117" t="s">
        <v>71</v>
      </c>
      <c r="C51" s="118"/>
      <c r="D51" s="118"/>
      <c r="E51" s="118"/>
      <c r="F51" s="118"/>
      <c r="G51" s="118"/>
      <c r="H51" s="92"/>
    </row>
    <row r="52" spans="2:12" ht="15.95" customHeight="1" x14ac:dyDescent="0.25">
      <c r="B52" s="119" t="s">
        <v>66</v>
      </c>
      <c r="C52" s="119"/>
      <c r="D52" s="119"/>
      <c r="E52" s="119"/>
      <c r="F52" s="119"/>
      <c r="G52" s="119"/>
      <c r="H52" s="92"/>
    </row>
    <row r="53" spans="2:12" ht="15.95" customHeight="1" x14ac:dyDescent="0.25">
      <c r="B53" s="120" t="s">
        <v>67</v>
      </c>
      <c r="C53" s="120"/>
      <c r="D53" s="120"/>
      <c r="E53" s="120"/>
      <c r="F53" s="120"/>
      <c r="G53" s="120"/>
      <c r="H53" s="11"/>
    </row>
    <row r="54" spans="2:12" ht="21" customHeight="1" x14ac:dyDescent="0.25">
      <c r="B54" s="123" t="s">
        <v>72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</row>
    <row r="55" spans="2:12" ht="14.1" customHeight="1" x14ac:dyDescent="0.25">
      <c r="B55" s="114" t="s">
        <v>65</v>
      </c>
      <c r="C55" s="114"/>
      <c r="D55" s="114"/>
      <c r="E55" s="114"/>
      <c r="F55" s="114"/>
      <c r="G55" s="114"/>
      <c r="H55" s="93"/>
    </row>
    <row r="56" spans="2:12" ht="14.1" customHeight="1" x14ac:dyDescent="0.25">
      <c r="B56" s="3"/>
      <c r="C56" s="3"/>
      <c r="D56" s="3"/>
      <c r="E56" s="3"/>
      <c r="F56" s="3"/>
      <c r="G56" s="3"/>
    </row>
  </sheetData>
  <sheetProtection formatColumns="0" formatRows="0" selectLockedCells="1"/>
  <mergeCells count="13">
    <mergeCell ref="B55:G55"/>
    <mergeCell ref="F10:G10"/>
    <mergeCell ref="F11:G11"/>
    <mergeCell ref="B51:G51"/>
    <mergeCell ref="B52:G52"/>
    <mergeCell ref="B53:G53"/>
    <mergeCell ref="B54:L54"/>
    <mergeCell ref="F9:G9"/>
    <mergeCell ref="F4:G4"/>
    <mergeCell ref="F5:G5"/>
    <mergeCell ref="F6:G6"/>
    <mergeCell ref="F7:G7"/>
    <mergeCell ref="F8:G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6"/>
  <sheetViews>
    <sheetView zoomScale="90" zoomScaleNormal="90" workbookViewId="0">
      <selection activeCell="K41" sqref="K41"/>
    </sheetView>
  </sheetViews>
  <sheetFormatPr defaultRowHeight="15" x14ac:dyDescent="0.25"/>
  <cols>
    <col min="1" max="1" width="1.5703125" customWidth="1"/>
    <col min="2" max="2" width="86.28515625" customWidth="1"/>
    <col min="3" max="3" width="20" customWidth="1"/>
    <col min="4" max="4" width="23.5703125" customWidth="1"/>
    <col min="5" max="5" width="17.140625" customWidth="1"/>
    <col min="6" max="6" width="15.140625" customWidth="1"/>
    <col min="7" max="7" width="17.28515625" customWidth="1"/>
    <col min="8" max="8" width="15.140625" customWidth="1"/>
    <col min="9" max="9" width="10.85546875" customWidth="1"/>
    <col min="10" max="10" width="9.85546875" customWidth="1"/>
    <col min="11" max="11" width="24" customWidth="1"/>
    <col min="12" max="12" width="14.28515625" customWidth="1"/>
    <col min="13" max="14" width="17.7109375" customWidth="1"/>
    <col min="16" max="16" width="9" customWidth="1"/>
    <col min="17" max="17" width="9.140625" customWidth="1"/>
    <col min="18" max="18" width="12.42578125" bestFit="1" customWidth="1"/>
    <col min="19" max="19" width="20.140625" customWidth="1"/>
  </cols>
  <sheetData>
    <row r="1" spans="2:19" ht="3.75" customHeight="1" thickBot="1" x14ac:dyDescent="0.3"/>
    <row r="2" spans="2:19" ht="15" customHeight="1" thickBot="1" x14ac:dyDescent="0.3">
      <c r="B2" s="58" t="s">
        <v>57</v>
      </c>
      <c r="C2" s="58"/>
      <c r="D2" s="58"/>
      <c r="E2" s="43" t="s">
        <v>42</v>
      </c>
      <c r="F2" s="52">
        <f>IF(C5=0,35%,(35%*J6+30%*J5+30%*J7)/C5)</f>
        <v>0.33500000000000002</v>
      </c>
      <c r="G2" s="42" t="s">
        <v>40</v>
      </c>
      <c r="H2" s="44">
        <f>F2*30*0.165</f>
        <v>1.6582500000000002</v>
      </c>
    </row>
    <row r="3" spans="2:19" ht="3" customHeight="1" x14ac:dyDescent="0.25">
      <c r="B3" s="2"/>
      <c r="C3" s="3"/>
      <c r="D3" s="3"/>
      <c r="E3" s="3"/>
      <c r="F3" s="3"/>
      <c r="G3" s="3"/>
    </row>
    <row r="4" spans="2:19" ht="32.1" customHeight="1" x14ac:dyDescent="0.25">
      <c r="B4" s="4" t="s">
        <v>55</v>
      </c>
      <c r="C4" s="5" t="s">
        <v>29</v>
      </c>
      <c r="D4" s="68" t="s">
        <v>43</v>
      </c>
      <c r="E4" s="5" t="s">
        <v>0</v>
      </c>
      <c r="F4" s="109" t="s">
        <v>30</v>
      </c>
      <c r="G4" s="110"/>
      <c r="H4" s="68" t="s">
        <v>34</v>
      </c>
      <c r="I4" s="5" t="s">
        <v>46</v>
      </c>
      <c r="J4" s="5" t="s">
        <v>47</v>
      </c>
      <c r="K4" s="47" t="s">
        <v>54</v>
      </c>
      <c r="L4" s="76"/>
    </row>
    <row r="5" spans="2:19" ht="14.1" customHeight="1" x14ac:dyDescent="0.25">
      <c r="B5" s="6" t="s">
        <v>41</v>
      </c>
      <c r="C5" s="33">
        <f>2485825/1000</f>
        <v>2485.8249999999998</v>
      </c>
      <c r="D5" s="56"/>
      <c r="E5" s="29"/>
      <c r="F5" s="111"/>
      <c r="G5" s="112"/>
      <c r="H5" s="56"/>
      <c r="I5" s="45" t="s">
        <v>48</v>
      </c>
      <c r="J5" s="50">
        <f>C5*0.15</f>
        <v>372.87374999999997</v>
      </c>
      <c r="K5" s="49" t="s">
        <v>51</v>
      </c>
      <c r="L5" s="71"/>
    </row>
    <row r="6" spans="2:19" ht="14.1" customHeight="1" x14ac:dyDescent="0.25">
      <c r="B6" s="6" t="s">
        <v>39</v>
      </c>
      <c r="C6" s="31">
        <f>C5-C7-C8-C9-C10</f>
        <v>1869.4276</v>
      </c>
      <c r="D6" s="56"/>
      <c r="E6" s="28">
        <f>IF(C$5=0,0,C6/C$5)</f>
        <v>0.752035078897348</v>
      </c>
      <c r="F6" s="111"/>
      <c r="G6" s="112"/>
      <c r="H6" s="59">
        <f>F2</f>
        <v>0.33500000000000002</v>
      </c>
      <c r="I6" s="45" t="s">
        <v>49</v>
      </c>
      <c r="J6" s="51">
        <f>C5-J5-J7</f>
        <v>1740.0775000000001</v>
      </c>
      <c r="K6" s="49" t="s">
        <v>52</v>
      </c>
      <c r="L6" s="71"/>
    </row>
    <row r="7" spans="2:19" ht="14.1" customHeight="1" x14ac:dyDescent="0.25">
      <c r="B7" s="6" t="s">
        <v>58</v>
      </c>
      <c r="C7" s="90">
        <f>(59683.58+384.84+23877.02+2.58)/1000</f>
        <v>83.94802</v>
      </c>
      <c r="D7" s="88">
        <v>0.45</v>
      </c>
      <c r="E7" s="28">
        <f>IF(C$5=0,0,C7/C$5)</f>
        <v>3.3770687799825012E-2</v>
      </c>
      <c r="F7" s="107">
        <f>IF($E7=0,0,$E7*D7)</f>
        <v>1.5196809509921257E-2</v>
      </c>
      <c r="G7" s="113"/>
      <c r="H7" s="63">
        <f>H6+F7</f>
        <v>0.35019680950992127</v>
      </c>
      <c r="I7" s="45" t="s">
        <v>50</v>
      </c>
      <c r="J7" s="50">
        <f>C5*0.15</f>
        <v>372.87374999999997</v>
      </c>
      <c r="K7" s="49" t="s">
        <v>53</v>
      </c>
      <c r="L7" s="71"/>
    </row>
    <row r="8" spans="2:19" ht="14.1" customHeight="1" x14ac:dyDescent="0.25">
      <c r="B8" s="6" t="s">
        <v>59</v>
      </c>
      <c r="C8" s="34">
        <f>(87230.88+226154.57+2.38)/1000</f>
        <v>313.38783000000001</v>
      </c>
      <c r="D8" s="88">
        <v>0.25</v>
      </c>
      <c r="E8" s="28">
        <f>IF(C$5=0,0,C8/C$5)</f>
        <v>0.12606994860861084</v>
      </c>
      <c r="F8" s="107">
        <f>IF($E8=0,0,$E8*D8)</f>
        <v>3.1517487152152711E-2</v>
      </c>
      <c r="G8" s="108"/>
      <c r="H8" s="39">
        <f>H7+F8</f>
        <v>0.38171429666207396</v>
      </c>
      <c r="J8" s="46" t="str">
        <f>IF(C5=0,"",IF(J6&lt;0,"chyba",""))</f>
        <v/>
      </c>
    </row>
    <row r="9" spans="2:19" ht="14.1" customHeight="1" x14ac:dyDescent="0.25">
      <c r="B9" s="6" t="s">
        <v>17</v>
      </c>
      <c r="C9" s="34">
        <f>136111.86/1000</f>
        <v>136.11185999999998</v>
      </c>
      <c r="D9" s="88">
        <v>-0.9</v>
      </c>
      <c r="E9" s="28">
        <f>IF(C$5=0,0,C9/C$5)</f>
        <v>5.4755206018122754E-2</v>
      </c>
      <c r="F9" s="107">
        <f>IF($E9=0,0,$E9*D9)</f>
        <v>-4.9279685416310483E-2</v>
      </c>
      <c r="G9" s="108"/>
      <c r="H9" s="39">
        <f>H8+F9</f>
        <v>0.33243461124576346</v>
      </c>
    </row>
    <row r="10" spans="2:19" ht="14.1" customHeight="1" x14ac:dyDescent="0.25">
      <c r="B10" s="6" t="s">
        <v>38</v>
      </c>
      <c r="C10" s="34">
        <f>82949.69/1000</f>
        <v>82.949690000000004</v>
      </c>
      <c r="D10" s="88">
        <v>-0.7</v>
      </c>
      <c r="E10" s="28">
        <f>IF(C$5=0,0,C10/C$5)</f>
        <v>3.3369078676093455E-2</v>
      </c>
      <c r="F10" s="107">
        <f>IF($E10=0,0,$E10*D10)</f>
        <v>-2.3358355073265419E-2</v>
      </c>
      <c r="G10" s="108"/>
      <c r="H10" s="65">
        <f>H9+F10</f>
        <v>0.30907625617249801</v>
      </c>
    </row>
    <row r="11" spans="2:19" ht="14.1" customHeight="1" x14ac:dyDescent="0.25">
      <c r="B11" s="9" t="s">
        <v>25</v>
      </c>
      <c r="C11" s="10"/>
      <c r="D11" s="57"/>
      <c r="E11" s="28"/>
      <c r="F11" s="115"/>
      <c r="G11" s="116"/>
      <c r="H11" s="121">
        <f>H10*$C$5</f>
        <v>768.30948449999983</v>
      </c>
    </row>
    <row r="12" spans="2:19" ht="3" customHeight="1" x14ac:dyDescent="0.25">
      <c r="B12" s="11"/>
      <c r="C12" s="11"/>
      <c r="D12" s="11"/>
      <c r="E12" s="11"/>
      <c r="F12" s="11"/>
      <c r="G12" s="11"/>
      <c r="H12" s="67"/>
    </row>
    <row r="13" spans="2:19" ht="32.25" customHeight="1" x14ac:dyDescent="0.25">
      <c r="B13" s="53" t="s">
        <v>33</v>
      </c>
      <c r="C13" s="54" t="s">
        <v>27</v>
      </c>
      <c r="D13" s="89" t="s">
        <v>20</v>
      </c>
      <c r="E13" s="54" t="s">
        <v>28</v>
      </c>
      <c r="F13" s="54" t="s">
        <v>1</v>
      </c>
      <c r="G13" s="62" t="s">
        <v>2</v>
      </c>
      <c r="H13" s="66" t="s">
        <v>21</v>
      </c>
      <c r="K13" s="77"/>
      <c r="L13" s="78"/>
      <c r="M13" s="78"/>
      <c r="N13" s="78"/>
      <c r="O13" s="78"/>
      <c r="P13" s="78"/>
      <c r="Q13" s="78"/>
      <c r="R13" s="78"/>
      <c r="S13" s="78"/>
    </row>
    <row r="14" spans="2:19" ht="13.5" customHeight="1" x14ac:dyDescent="0.25">
      <c r="B14" s="91" t="s">
        <v>62</v>
      </c>
      <c r="C14" s="73"/>
      <c r="D14" s="88">
        <v>1</v>
      </c>
      <c r="E14" s="74">
        <v>30</v>
      </c>
      <c r="F14" s="75">
        <v>0.22</v>
      </c>
      <c r="G14" s="72"/>
      <c r="H14" s="64"/>
      <c r="K14" s="77"/>
      <c r="L14" s="79"/>
      <c r="M14" s="80"/>
      <c r="N14" s="81"/>
      <c r="O14" s="82"/>
      <c r="P14" s="83"/>
      <c r="Q14" s="81"/>
      <c r="R14" s="83"/>
      <c r="S14" s="83"/>
    </row>
    <row r="15" spans="2:19" ht="14.1" customHeight="1" x14ac:dyDescent="0.25">
      <c r="B15" s="6" t="s">
        <v>61</v>
      </c>
      <c r="C15" s="35">
        <f>9670-220</f>
        <v>9450</v>
      </c>
      <c r="D15" s="88">
        <v>0.85</v>
      </c>
      <c r="E15" s="25">
        <v>25</v>
      </c>
      <c r="F15" s="39">
        <v>0.22</v>
      </c>
      <c r="G15" s="37"/>
      <c r="H15" s="64">
        <f t="shared" ref="H15:H30" si="0">IF(G15=0,(C15/E15)*D15,(C15/E15)*D15*(G15/F15))</f>
        <v>321.3</v>
      </c>
      <c r="K15" s="77"/>
      <c r="L15" s="79"/>
      <c r="M15" s="69"/>
      <c r="N15" s="81"/>
      <c r="O15" s="84"/>
      <c r="P15" s="85"/>
      <c r="Q15" s="86"/>
      <c r="R15" s="83"/>
      <c r="S15" s="85"/>
    </row>
    <row r="16" spans="2:19" ht="14.1" customHeight="1" x14ac:dyDescent="0.25">
      <c r="B16" s="6" t="s">
        <v>60</v>
      </c>
      <c r="C16" s="35">
        <v>50</v>
      </c>
      <c r="D16" s="88">
        <v>0.75</v>
      </c>
      <c r="E16" s="25">
        <v>25</v>
      </c>
      <c r="F16" s="39">
        <v>0.23</v>
      </c>
      <c r="G16" s="37"/>
      <c r="H16" s="64">
        <f t="shared" si="0"/>
        <v>1.5</v>
      </c>
      <c r="K16" s="77"/>
      <c r="L16" s="79"/>
      <c r="M16" s="69"/>
      <c r="N16" s="81"/>
      <c r="O16" s="84"/>
      <c r="P16" s="85"/>
      <c r="Q16" s="86"/>
      <c r="R16" s="83"/>
      <c r="S16" s="85"/>
    </row>
    <row r="17" spans="2:23" ht="14.1" customHeight="1" x14ac:dyDescent="0.25">
      <c r="B17" s="6" t="s">
        <v>64</v>
      </c>
      <c r="C17" s="35">
        <v>50</v>
      </c>
      <c r="D17" s="88">
        <v>0.65</v>
      </c>
      <c r="E17" s="25">
        <v>15</v>
      </c>
      <c r="F17" s="39">
        <v>0.4</v>
      </c>
      <c r="G17" s="37"/>
      <c r="H17" s="60">
        <f t="shared" si="0"/>
        <v>2.166666666666667</v>
      </c>
      <c r="K17" s="77"/>
      <c r="L17" s="79"/>
      <c r="M17" s="69"/>
      <c r="N17" s="81"/>
      <c r="O17" s="84"/>
      <c r="P17" s="85"/>
      <c r="Q17" s="87"/>
      <c r="R17" s="83"/>
      <c r="S17" s="85"/>
    </row>
    <row r="18" spans="2:23" ht="14.1" customHeight="1" x14ac:dyDescent="0.25">
      <c r="B18" s="6" t="s">
        <v>63</v>
      </c>
      <c r="C18" s="35">
        <v>50</v>
      </c>
      <c r="D18" s="88">
        <v>1</v>
      </c>
      <c r="E18" s="25">
        <v>15</v>
      </c>
      <c r="F18" s="39">
        <v>0.4</v>
      </c>
      <c r="G18" s="37"/>
      <c r="H18" s="60">
        <f t="shared" si="0"/>
        <v>3.3333333333333335</v>
      </c>
      <c r="K18" s="77"/>
      <c r="L18" s="79"/>
      <c r="M18" s="69"/>
      <c r="N18" s="81"/>
      <c r="O18" s="84"/>
      <c r="P18" s="85"/>
      <c r="Q18" s="87"/>
      <c r="R18" s="83"/>
      <c r="S18" s="85"/>
    </row>
    <row r="19" spans="2:23" ht="14.1" customHeight="1" x14ac:dyDescent="0.25">
      <c r="B19" s="6" t="s">
        <v>14</v>
      </c>
      <c r="C19" s="35">
        <v>40</v>
      </c>
      <c r="D19" s="88">
        <v>0.4</v>
      </c>
      <c r="E19" s="25">
        <v>5</v>
      </c>
      <c r="F19" s="39">
        <v>1</v>
      </c>
      <c r="G19" s="37"/>
      <c r="H19" s="60">
        <f t="shared" si="0"/>
        <v>3.2</v>
      </c>
      <c r="K19" s="77"/>
      <c r="L19" s="79"/>
      <c r="M19" s="69"/>
      <c r="N19" s="81"/>
      <c r="O19" s="84"/>
      <c r="P19" s="85"/>
      <c r="Q19" s="87"/>
      <c r="R19" s="83"/>
      <c r="S19" s="85"/>
      <c r="W19" s="70"/>
    </row>
    <row r="20" spans="2:23" ht="14.1" customHeight="1" x14ac:dyDescent="0.25">
      <c r="B20" s="6" t="s">
        <v>6</v>
      </c>
      <c r="C20" s="36">
        <v>1600</v>
      </c>
      <c r="D20" s="88">
        <v>0.18</v>
      </c>
      <c r="E20" s="25">
        <v>20</v>
      </c>
      <c r="F20" s="39">
        <v>7.2999999999999995E-2</v>
      </c>
      <c r="G20" s="37"/>
      <c r="H20" s="60">
        <f t="shared" si="0"/>
        <v>14.399999999999999</v>
      </c>
      <c r="K20" s="77"/>
      <c r="L20" s="79"/>
      <c r="M20" s="69"/>
      <c r="N20" s="81"/>
      <c r="O20" s="84"/>
      <c r="P20" s="85"/>
      <c r="Q20" s="87"/>
      <c r="R20" s="83"/>
      <c r="S20" s="85"/>
      <c r="W20" s="70"/>
    </row>
    <row r="21" spans="2:23" ht="14.1" customHeight="1" x14ac:dyDescent="0.25">
      <c r="B21" s="6" t="s">
        <v>7</v>
      </c>
      <c r="C21" s="36">
        <v>200</v>
      </c>
      <c r="D21" s="88">
        <f>F21/F20*D20+0.002</f>
        <v>0.14501369863013699</v>
      </c>
      <c r="E21" s="25">
        <v>20</v>
      </c>
      <c r="F21" s="39">
        <v>5.8000000000000003E-2</v>
      </c>
      <c r="G21" s="37"/>
      <c r="H21" s="60">
        <f t="shared" si="0"/>
        <v>1.45013698630137</v>
      </c>
      <c r="K21" s="77"/>
      <c r="L21" s="79"/>
      <c r="M21" s="69"/>
      <c r="N21" s="81"/>
      <c r="O21" s="84"/>
      <c r="P21" s="85"/>
      <c r="Q21" s="87"/>
      <c r="R21" s="83"/>
      <c r="S21" s="85"/>
      <c r="W21" s="70"/>
    </row>
    <row r="22" spans="2:23" ht="14.1" customHeight="1" x14ac:dyDescent="0.25">
      <c r="B22" s="6" t="s">
        <v>8</v>
      </c>
      <c r="C22" s="36">
        <v>800</v>
      </c>
      <c r="D22" s="88">
        <v>0.1</v>
      </c>
      <c r="E22" s="25">
        <v>20</v>
      </c>
      <c r="F22" s="39">
        <v>5.2999999999999999E-2</v>
      </c>
      <c r="G22" s="37"/>
      <c r="H22" s="60">
        <f t="shared" si="0"/>
        <v>4</v>
      </c>
      <c r="K22" s="77"/>
      <c r="L22" s="79"/>
      <c r="M22" s="69"/>
      <c r="N22" s="81"/>
      <c r="O22" s="84"/>
      <c r="P22" s="85"/>
      <c r="Q22" s="87"/>
      <c r="R22" s="83"/>
      <c r="S22" s="85"/>
      <c r="W22" s="70"/>
    </row>
    <row r="23" spans="2:23" ht="14.1" customHeight="1" x14ac:dyDescent="0.25">
      <c r="B23" s="6" t="s">
        <v>9</v>
      </c>
      <c r="C23" s="36">
        <v>80</v>
      </c>
      <c r="D23" s="88">
        <f>F23/F22*D22+0.001</f>
        <v>6.5150943396226429E-2</v>
      </c>
      <c r="E23" s="25">
        <v>20</v>
      </c>
      <c r="F23" s="39">
        <v>3.4000000000000002E-2</v>
      </c>
      <c r="G23" s="37"/>
      <c r="H23" s="60">
        <f t="shared" si="0"/>
        <v>0.26060377358490572</v>
      </c>
      <c r="K23" s="77"/>
      <c r="L23" s="79"/>
      <c r="M23" s="69"/>
      <c r="N23" s="81"/>
      <c r="O23" s="84"/>
      <c r="P23" s="85"/>
      <c r="Q23" s="87"/>
      <c r="R23" s="83"/>
      <c r="S23" s="85"/>
      <c r="W23" s="70"/>
    </row>
    <row r="24" spans="2:23" ht="14.1" customHeight="1" x14ac:dyDescent="0.25">
      <c r="B24" s="6" t="s">
        <v>10</v>
      </c>
      <c r="C24" s="35">
        <v>7000</v>
      </c>
      <c r="D24" s="88">
        <v>0.15</v>
      </c>
      <c r="E24" s="25">
        <v>20</v>
      </c>
      <c r="F24" s="39">
        <v>6.5000000000000002E-2</v>
      </c>
      <c r="G24" s="37"/>
      <c r="H24" s="60">
        <f t="shared" si="0"/>
        <v>52.5</v>
      </c>
      <c r="K24" s="77"/>
      <c r="L24" s="79"/>
      <c r="M24" s="69"/>
      <c r="N24" s="81"/>
      <c r="O24" s="84"/>
      <c r="P24" s="85"/>
      <c r="Q24" s="87"/>
      <c r="R24" s="83"/>
      <c r="S24" s="85"/>
      <c r="W24" s="70"/>
    </row>
    <row r="25" spans="2:23" ht="14.1" customHeight="1" x14ac:dyDescent="0.25">
      <c r="B25" s="6" t="s">
        <v>11</v>
      </c>
      <c r="C25" s="35">
        <v>540</v>
      </c>
      <c r="D25" s="88">
        <f>F25/F24*D24</f>
        <v>9.9230769230769206E-2</v>
      </c>
      <c r="E25" s="25">
        <v>20</v>
      </c>
      <c r="F25" s="39">
        <v>4.2999999999999997E-2</v>
      </c>
      <c r="G25" s="37"/>
      <c r="H25" s="60">
        <f t="shared" si="0"/>
        <v>2.6792307692307684</v>
      </c>
      <c r="K25" s="77"/>
      <c r="L25" s="79"/>
      <c r="M25" s="69"/>
      <c r="N25" s="81"/>
      <c r="O25" s="84"/>
      <c r="P25" s="85"/>
      <c r="Q25" s="87"/>
      <c r="R25" s="83"/>
      <c r="S25" s="85"/>
      <c r="W25" s="70"/>
    </row>
    <row r="26" spans="2:23" ht="14.1" customHeight="1" x14ac:dyDescent="0.25">
      <c r="B26" s="6" t="s">
        <v>12</v>
      </c>
      <c r="C26" s="35">
        <v>10</v>
      </c>
      <c r="D26" s="88">
        <v>0.15</v>
      </c>
      <c r="E26" s="25">
        <v>5</v>
      </c>
      <c r="F26" s="39">
        <v>0.3</v>
      </c>
      <c r="G26" s="37"/>
      <c r="H26" s="60">
        <f t="shared" si="0"/>
        <v>0.3</v>
      </c>
      <c r="K26" s="77"/>
      <c r="L26" s="79"/>
      <c r="M26" s="69"/>
      <c r="N26" s="81"/>
      <c r="O26" s="84"/>
      <c r="P26" s="85"/>
      <c r="Q26" s="87"/>
      <c r="R26" s="83"/>
      <c r="S26" s="85"/>
      <c r="W26" s="70"/>
    </row>
    <row r="27" spans="2:23" ht="14.1" customHeight="1" x14ac:dyDescent="0.25">
      <c r="B27" s="6" t="s">
        <v>13</v>
      </c>
      <c r="C27" s="35">
        <v>5</v>
      </c>
      <c r="D27" s="88">
        <v>0.1</v>
      </c>
      <c r="E27" s="25">
        <v>20</v>
      </c>
      <c r="F27" s="39">
        <v>0.05</v>
      </c>
      <c r="G27" s="37"/>
      <c r="H27" s="60">
        <f t="shared" si="0"/>
        <v>2.5000000000000001E-2</v>
      </c>
      <c r="K27" s="77"/>
      <c r="L27" s="79"/>
      <c r="M27" s="69"/>
      <c r="N27" s="81"/>
      <c r="O27" s="84"/>
      <c r="P27" s="85"/>
      <c r="Q27" s="87"/>
      <c r="R27" s="83"/>
      <c r="S27" s="85"/>
      <c r="W27" s="70"/>
    </row>
    <row r="28" spans="2:23" ht="14.1" customHeight="1" x14ac:dyDescent="0.25">
      <c r="B28" s="6" t="s">
        <v>3</v>
      </c>
      <c r="C28" s="35">
        <v>50</v>
      </c>
      <c r="D28" s="88">
        <v>0.3</v>
      </c>
      <c r="E28" s="25">
        <v>5</v>
      </c>
      <c r="F28" s="39">
        <v>0.73</v>
      </c>
      <c r="G28" s="37"/>
      <c r="H28" s="60">
        <f t="shared" si="0"/>
        <v>3</v>
      </c>
      <c r="K28" s="77"/>
      <c r="L28" s="79"/>
      <c r="M28" s="69"/>
      <c r="N28" s="81"/>
      <c r="O28" s="84"/>
      <c r="P28" s="85"/>
      <c r="Q28" s="87"/>
      <c r="R28" s="83"/>
      <c r="S28" s="85"/>
      <c r="W28" s="70"/>
    </row>
    <row r="29" spans="2:23" ht="14.1" customHeight="1" x14ac:dyDescent="0.25">
      <c r="B29" s="6" t="s">
        <v>4</v>
      </c>
      <c r="C29" s="35">
        <v>200</v>
      </c>
      <c r="D29" s="88">
        <v>0.17</v>
      </c>
      <c r="E29" s="25">
        <v>5.2941176470588234</v>
      </c>
      <c r="F29" s="39">
        <v>0.42</v>
      </c>
      <c r="G29" s="37"/>
      <c r="H29" s="60">
        <f t="shared" si="0"/>
        <v>6.4222222222222225</v>
      </c>
      <c r="K29" s="77"/>
      <c r="L29" s="79"/>
      <c r="M29" s="69"/>
      <c r="N29" s="81"/>
      <c r="O29" s="84"/>
      <c r="P29" s="85"/>
      <c r="Q29" s="87"/>
      <c r="R29" s="83"/>
      <c r="S29" s="85"/>
      <c r="W29" s="70"/>
    </row>
    <row r="30" spans="2:23" ht="14.1" customHeight="1" x14ac:dyDescent="0.25">
      <c r="B30" s="6" t="s">
        <v>5</v>
      </c>
      <c r="C30" s="35">
        <v>20</v>
      </c>
      <c r="D30" s="88">
        <v>0.13</v>
      </c>
      <c r="E30" s="25">
        <v>5.2941176470588234</v>
      </c>
      <c r="F30" s="39">
        <v>0.32</v>
      </c>
      <c r="G30" s="37"/>
      <c r="H30" s="60">
        <f t="shared" si="0"/>
        <v>0.49111111111111111</v>
      </c>
      <c r="K30" s="77"/>
      <c r="L30" s="79"/>
      <c r="M30" s="69"/>
      <c r="N30" s="81"/>
      <c r="O30" s="84"/>
      <c r="P30" s="85"/>
      <c r="Q30" s="87"/>
      <c r="R30" s="83"/>
      <c r="S30" s="85"/>
      <c r="W30" s="70"/>
    </row>
    <row r="31" spans="2:23" ht="14.1" customHeight="1" x14ac:dyDescent="0.25">
      <c r="B31" s="9" t="s">
        <v>19</v>
      </c>
      <c r="C31" s="32">
        <f>SUM(C15:C30)</f>
        <v>20145</v>
      </c>
      <c r="D31" s="8"/>
      <c r="E31" s="12"/>
      <c r="F31" s="7"/>
      <c r="G31" s="7"/>
      <c r="H31" s="61">
        <f>SUM(H15:H30)</f>
        <v>417.02830486245034</v>
      </c>
    </row>
    <row r="32" spans="2:23" ht="3" customHeight="1" x14ac:dyDescent="0.25">
      <c r="B32" s="13"/>
      <c r="C32" s="14"/>
      <c r="D32" s="15"/>
      <c r="E32" s="16"/>
      <c r="F32" s="17"/>
      <c r="G32" s="18"/>
      <c r="H32" s="27"/>
    </row>
    <row r="33" spans="2:19" ht="33.75" customHeight="1" x14ac:dyDescent="0.25">
      <c r="B33" s="53" t="s">
        <v>32</v>
      </c>
      <c r="C33" s="54" t="s">
        <v>56</v>
      </c>
      <c r="D33" s="89" t="s">
        <v>20</v>
      </c>
      <c r="E33" s="54" t="s">
        <v>68</v>
      </c>
      <c r="F33" s="55" t="s">
        <v>31</v>
      </c>
      <c r="G33" s="54" t="s">
        <v>69</v>
      </c>
      <c r="H33" s="66" t="s">
        <v>21</v>
      </c>
    </row>
    <row r="34" spans="2:19" ht="14.1" customHeight="1" x14ac:dyDescent="0.25">
      <c r="B34" s="6" t="s">
        <v>84</v>
      </c>
      <c r="C34" s="35">
        <v>1100</v>
      </c>
      <c r="D34" s="88">
        <v>0.5</v>
      </c>
      <c r="E34" s="26">
        <v>5</v>
      </c>
      <c r="F34" s="40">
        <f>E34*0.9</f>
        <v>4.5</v>
      </c>
      <c r="G34" s="38"/>
      <c r="H34" s="60">
        <f>IF(G34=0,C34*D34,(C34*D34)*(G34/E34))</f>
        <v>550</v>
      </c>
      <c r="M34" s="69"/>
      <c r="N34" s="69"/>
      <c r="P34" s="1"/>
      <c r="R34" s="48"/>
      <c r="S34" s="70"/>
    </row>
    <row r="35" spans="2:19" ht="14.1" customHeight="1" x14ac:dyDescent="0.25">
      <c r="B35" s="6" t="s">
        <v>70</v>
      </c>
      <c r="C35" s="35">
        <v>100</v>
      </c>
      <c r="D35" s="88">
        <v>0.1</v>
      </c>
      <c r="E35" s="26"/>
      <c r="F35" s="40"/>
      <c r="G35" s="30"/>
      <c r="H35" s="60">
        <f>IF(G35=0,C35*D35,(C35*D35)*(G35/E35))</f>
        <v>10</v>
      </c>
      <c r="M35" s="69"/>
      <c r="N35" s="69"/>
      <c r="P35" s="1"/>
      <c r="Q35" s="48"/>
      <c r="R35" s="48"/>
      <c r="S35" s="70"/>
    </row>
    <row r="36" spans="2:19" ht="14.1" customHeight="1" x14ac:dyDescent="0.25">
      <c r="B36" s="6" t="s">
        <v>22</v>
      </c>
      <c r="C36" s="36">
        <f>59683.58/1000</f>
        <v>59.683579999999999</v>
      </c>
      <c r="D36" s="88">
        <v>0.25</v>
      </c>
      <c r="E36" s="26">
        <v>25</v>
      </c>
      <c r="F36" s="41">
        <f>E36*0.15</f>
        <v>3.75</v>
      </c>
      <c r="G36" s="38"/>
      <c r="H36" s="60">
        <f>IF(G36=0,C36*D36,(C36*D36)*(G36/E36))</f>
        <v>14.920895</v>
      </c>
      <c r="M36" s="69"/>
      <c r="N36" s="69"/>
      <c r="P36" s="1"/>
      <c r="Q36" s="48"/>
      <c r="R36" s="48"/>
      <c r="S36" s="70"/>
    </row>
    <row r="37" spans="2:19" ht="14.1" customHeight="1" x14ac:dyDescent="0.25">
      <c r="B37" s="6" t="s">
        <v>35</v>
      </c>
      <c r="C37" s="35">
        <f>33</f>
        <v>33</v>
      </c>
      <c r="D37" s="88">
        <v>0.2</v>
      </c>
      <c r="E37" s="26">
        <v>10</v>
      </c>
      <c r="F37" s="41">
        <f t="shared" ref="F37:F42" si="1">E37*0.15</f>
        <v>1.5</v>
      </c>
      <c r="G37" s="38"/>
      <c r="H37" s="60">
        <f>IF(G37=0,C37*D37,(C37*(D37-0.1))+(C37*0.1*(G37/E37)))</f>
        <v>6.6000000000000005</v>
      </c>
    </row>
    <row r="38" spans="2:19" ht="14.1" customHeight="1" x14ac:dyDescent="0.25">
      <c r="B38" s="6" t="s">
        <v>44</v>
      </c>
      <c r="C38" s="35">
        <f>102.4+20</f>
        <v>122.4</v>
      </c>
      <c r="D38" s="88">
        <v>0.35</v>
      </c>
      <c r="E38" s="26">
        <v>25</v>
      </c>
      <c r="F38" s="41">
        <f t="shared" si="1"/>
        <v>3.75</v>
      </c>
      <c r="G38" s="38"/>
      <c r="H38" s="60">
        <f>IF(G38=0,C38*D38,(C38*(D38-0.25))+(C38*0.25*(G38/E38)))</f>
        <v>42.839999999999996</v>
      </c>
    </row>
    <row r="39" spans="2:19" ht="14.1" customHeight="1" x14ac:dyDescent="0.25">
      <c r="B39" s="6" t="s">
        <v>36</v>
      </c>
      <c r="C39" s="35">
        <v>10</v>
      </c>
      <c r="D39" s="88">
        <v>0.45</v>
      </c>
      <c r="E39" s="26">
        <v>30</v>
      </c>
      <c r="F39" s="41">
        <f t="shared" si="1"/>
        <v>4.5</v>
      </c>
      <c r="G39" s="38"/>
      <c r="H39" s="60">
        <f>IF(G39=0,C39*D39,(C39*(D39-0.3))+(C39*0.3*(G39/E39)))</f>
        <v>4.5</v>
      </c>
    </row>
    <row r="40" spans="2:19" ht="14.1" customHeight="1" x14ac:dyDescent="0.25">
      <c r="B40" s="6" t="s">
        <v>37</v>
      </c>
      <c r="C40" s="35">
        <v>10</v>
      </c>
      <c r="D40" s="88">
        <v>0.1</v>
      </c>
      <c r="E40" s="26"/>
      <c r="F40" s="41"/>
      <c r="G40" s="30"/>
      <c r="H40" s="60">
        <f>IF(G40=0,C40*D40,(C40*D40)*(G40/E40))</f>
        <v>1</v>
      </c>
    </row>
    <row r="41" spans="2:19" ht="14.1" customHeight="1" x14ac:dyDescent="0.25">
      <c r="B41" s="6" t="s">
        <v>23</v>
      </c>
      <c r="C41" s="35">
        <v>5</v>
      </c>
      <c r="D41" s="88">
        <v>0.2</v>
      </c>
      <c r="E41" s="26">
        <v>10</v>
      </c>
      <c r="F41" s="41">
        <f t="shared" si="1"/>
        <v>1.5</v>
      </c>
      <c r="G41" s="38"/>
      <c r="H41" s="60">
        <f>IF(G41=0,C41*D41,(C41*(D41-0.1))+(C41*0.1*(G41/E41)))</f>
        <v>1</v>
      </c>
    </row>
    <row r="42" spans="2:19" ht="14.1" customHeight="1" x14ac:dyDescent="0.25">
      <c r="B42" s="6" t="s">
        <v>18</v>
      </c>
      <c r="C42" s="35">
        <v>10</v>
      </c>
      <c r="D42" s="88">
        <v>0.2</v>
      </c>
      <c r="E42" s="26">
        <v>10</v>
      </c>
      <c r="F42" s="41">
        <f t="shared" si="1"/>
        <v>1.5</v>
      </c>
      <c r="G42" s="38"/>
      <c r="H42" s="60">
        <f>IF(G42=0,C42*D42,(C42*D42)*(G42/E42))</f>
        <v>2</v>
      </c>
      <c r="M42" s="69"/>
      <c r="N42" s="69"/>
      <c r="P42" s="1"/>
      <c r="Q42" s="48"/>
      <c r="R42" s="48"/>
      <c r="S42" s="70"/>
    </row>
    <row r="43" spans="2:19" ht="14.1" customHeight="1" x14ac:dyDescent="0.25">
      <c r="B43" s="6" t="s">
        <v>15</v>
      </c>
      <c r="C43" s="35">
        <v>50</v>
      </c>
      <c r="D43" s="88">
        <v>0.2</v>
      </c>
      <c r="E43" s="26"/>
      <c r="F43" s="40"/>
      <c r="G43" s="30"/>
      <c r="H43" s="60">
        <f>IF(G43=0,C43*D43,(C43*D43)*(G43/E43))</f>
        <v>10</v>
      </c>
    </row>
    <row r="44" spans="2:19" ht="14.1" customHeight="1" x14ac:dyDescent="0.25">
      <c r="B44" s="6" t="s">
        <v>16</v>
      </c>
      <c r="C44" s="35">
        <f>42.8+11.2</f>
        <v>54</v>
      </c>
      <c r="D44" s="88">
        <v>0.2</v>
      </c>
      <c r="E44" s="26"/>
      <c r="F44" s="40"/>
      <c r="G44" s="30"/>
      <c r="H44" s="60">
        <f>IF(G44=0,C44*D44,(C44*D44)*(G44/E44))</f>
        <v>10.8</v>
      </c>
    </row>
    <row r="45" spans="2:19" ht="14.1" customHeight="1" x14ac:dyDescent="0.25">
      <c r="B45" s="6" t="s">
        <v>24</v>
      </c>
      <c r="C45" s="35">
        <f>228.9-C44</f>
        <v>174.9</v>
      </c>
      <c r="D45" s="88">
        <v>0.2</v>
      </c>
      <c r="E45" s="26"/>
      <c r="F45" s="40"/>
      <c r="G45" s="30"/>
      <c r="H45" s="60">
        <f>IF(G45=0,C45*D45,(C45*D45)*(G45/E45))</f>
        <v>34.980000000000004</v>
      </c>
    </row>
    <row r="46" spans="2:19" ht="14.1" customHeight="1" x14ac:dyDescent="0.25">
      <c r="B46" s="6" t="s">
        <v>45</v>
      </c>
      <c r="C46" s="35">
        <v>10</v>
      </c>
      <c r="D46" s="88">
        <v>0.45</v>
      </c>
      <c r="E46" s="26">
        <v>20</v>
      </c>
      <c r="F46" s="41">
        <f>E46*0.15</f>
        <v>3</v>
      </c>
      <c r="G46" s="38"/>
      <c r="H46" s="60">
        <f>IF(G46=0,C46*D46,(C46*(D46-0.2))+(C46*0.2*(G46/E46)))</f>
        <v>4.5</v>
      </c>
    </row>
    <row r="47" spans="2:19" ht="14.1" customHeight="1" x14ac:dyDescent="0.25">
      <c r="B47" s="9" t="s">
        <v>19</v>
      </c>
      <c r="C47" s="32">
        <f>SUM(C34:C46)</f>
        <v>1738.9835800000001</v>
      </c>
      <c r="D47" s="88"/>
      <c r="E47" s="6"/>
      <c r="F47" s="6"/>
      <c r="G47" s="20"/>
      <c r="H47" s="61">
        <f>SUM(H34:H46)</f>
        <v>693.140895</v>
      </c>
    </row>
    <row r="48" spans="2:19" ht="2.25" customHeight="1" x14ac:dyDescent="0.25">
      <c r="B48" s="21"/>
      <c r="C48" s="22"/>
      <c r="D48" s="23"/>
      <c r="E48" s="13"/>
      <c r="F48" s="13"/>
      <c r="G48" s="23"/>
      <c r="H48" s="122"/>
    </row>
    <row r="49" spans="2:12" ht="14.1" customHeight="1" x14ac:dyDescent="0.25">
      <c r="B49" s="9" t="s">
        <v>26</v>
      </c>
      <c r="C49" s="24"/>
      <c r="D49" s="19"/>
      <c r="E49" s="6"/>
      <c r="F49" s="6"/>
      <c r="G49" s="19"/>
      <c r="H49" s="121">
        <f>H31+H47</f>
        <v>1110.1691998624503</v>
      </c>
    </row>
    <row r="50" spans="2:12" ht="14.1" customHeight="1" x14ac:dyDescent="0.25">
      <c r="B50" s="125" t="s">
        <v>83</v>
      </c>
      <c r="C50" s="6"/>
      <c r="D50" s="6"/>
      <c r="E50" s="6"/>
      <c r="F50" s="6"/>
      <c r="G50" s="6"/>
      <c r="H50" s="121">
        <f>H49-H11</f>
        <v>341.85971536245052</v>
      </c>
    </row>
    <row r="51" spans="2:12" ht="13.5" customHeight="1" x14ac:dyDescent="0.25">
      <c r="B51" s="117" t="s">
        <v>71</v>
      </c>
      <c r="C51" s="118"/>
      <c r="D51" s="118"/>
      <c r="E51" s="118"/>
      <c r="F51" s="118"/>
      <c r="G51" s="118"/>
      <c r="H51" s="92"/>
    </row>
    <row r="52" spans="2:12" ht="15.95" customHeight="1" x14ac:dyDescent="0.25">
      <c r="B52" s="119" t="s">
        <v>66</v>
      </c>
      <c r="C52" s="119"/>
      <c r="D52" s="119"/>
      <c r="E52" s="119"/>
      <c r="F52" s="119"/>
      <c r="G52" s="119"/>
      <c r="H52" s="92"/>
    </row>
    <row r="53" spans="2:12" ht="15.95" customHeight="1" x14ac:dyDescent="0.25">
      <c r="B53" s="120" t="s">
        <v>67</v>
      </c>
      <c r="C53" s="120"/>
      <c r="D53" s="120"/>
      <c r="E53" s="120"/>
      <c r="F53" s="120"/>
      <c r="G53" s="120"/>
      <c r="H53" s="11"/>
    </row>
    <row r="54" spans="2:12" ht="18" customHeight="1" x14ac:dyDescent="0.25">
      <c r="B54" s="123" t="s">
        <v>72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</row>
    <row r="55" spans="2:12" ht="14.1" customHeight="1" x14ac:dyDescent="0.25">
      <c r="B55" s="114" t="s">
        <v>65</v>
      </c>
      <c r="C55" s="114"/>
      <c r="D55" s="114"/>
      <c r="E55" s="114"/>
      <c r="F55" s="114"/>
      <c r="G55" s="114"/>
      <c r="H55" s="93"/>
    </row>
    <row r="56" spans="2:12" ht="14.1" customHeight="1" x14ac:dyDescent="0.25">
      <c r="B56" s="3"/>
      <c r="C56" s="3"/>
      <c r="D56" s="3"/>
      <c r="E56" s="3"/>
      <c r="F56" s="3"/>
      <c r="G56" s="3"/>
    </row>
  </sheetData>
  <sheetProtection formatColumns="0" formatRows="0" selectLockedCells="1"/>
  <mergeCells count="13">
    <mergeCell ref="B55:G55"/>
    <mergeCell ref="F4:G4"/>
    <mergeCell ref="F5:G5"/>
    <mergeCell ref="F6:G6"/>
    <mergeCell ref="F7:G7"/>
    <mergeCell ref="F8:G8"/>
    <mergeCell ref="F9:G9"/>
    <mergeCell ref="F10:G10"/>
    <mergeCell ref="F11:G11"/>
    <mergeCell ref="B51:G51"/>
    <mergeCell ref="B53:G53"/>
    <mergeCell ref="B52:G52"/>
    <mergeCell ref="B54:L5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zkušební výpočet</vt:lpstr>
      <vt:lpstr>analýza za ČR - výpočet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2021-02-01T08:42:03Z</dcterms:created>
  <dcterms:modified xsi:type="dcterms:W3CDTF">2022-02-03T07:23:33Z</dcterms:modified>
</cp:coreProperties>
</file>